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FC238340-AB80-4D51-B70F-D5F11B571CF8}" xr6:coauthVersionLast="47" xr6:coauthVersionMax="47" xr10:uidLastSave="{00000000-0000-0000-0000-000000000000}"/>
  <bookViews>
    <workbookView xWindow="38720" yWindow="9270" windowWidth="25050" windowHeight="11480" firstSheet="2" activeTab="4" xr2:uid="{00000000-000D-0000-FFFF-FFFF00000000}"/>
  </bookViews>
  <sheets>
    <sheet name="Master" sheetId="27" r:id="rId1"/>
    <sheet name="IP" sheetId="39" r:id="rId2"/>
    <sheet name="Trials" sheetId="46" r:id="rId3"/>
    <sheet name="Main" sheetId="1" r:id="rId4"/>
    <sheet name="Model" sheetId="2" r:id="rId5"/>
    <sheet name="Mounjaro-Zepbound" sheetId="30" r:id="rId6"/>
    <sheet name="GLP-1s" sheetId="33" r:id="rId7"/>
    <sheet name="Obesity" sheetId="34" r:id="rId8"/>
    <sheet name="Trulicity" sheetId="29" r:id="rId9"/>
    <sheet name="orforglipron" sheetId="43" r:id="rId10"/>
    <sheet name="retatrutide" sheetId="44" r:id="rId11"/>
    <sheet name="mazdutide" sheetId="45" r:id="rId12"/>
    <sheet name="Omvoh" sheetId="37" r:id="rId13"/>
    <sheet name="Kisunla" sheetId="35" r:id="rId14"/>
    <sheet name="insulin efsitora" sheetId="38" r:id="rId15"/>
    <sheet name="imlunestrant" sheetId="40" r:id="rId16"/>
    <sheet name="Ebglyss" sheetId="36" r:id="rId17"/>
    <sheet name="Jayprica" sheetId="28" r:id="rId18"/>
    <sheet name="Verzenio" sheetId="31" r:id="rId19"/>
    <sheet name="muvalaplin" sheetId="41" r:id="rId20"/>
    <sheet name="Alimta" sheetId="10" r:id="rId21"/>
    <sheet name="Cymbalta" sheetId="4" r:id="rId22"/>
    <sheet name="Jardiance" sheetId="32" r:id="rId23"/>
    <sheet name="Forteo" sheetId="6" r:id="rId24"/>
    <sheet name="Strattera" sheetId="5" r:id="rId25"/>
    <sheet name="Cialis" sheetId="9" r:id="rId26"/>
    <sheet name="Evista" sheetId="7" r:id="rId27"/>
    <sheet name="Gemzar" sheetId="23" r:id="rId28"/>
    <sheet name="Zyprexa" sheetId="3" r:id="rId29"/>
    <sheet name="remternetug" sheetId="42" r:id="rId30"/>
    <sheet name="Exenatide" sheetId="11" r:id="rId31"/>
    <sheet name="Effient" sheetId="14" r:id="rId32"/>
    <sheet name="Enzastaurin" sheetId="15" r:id="rId33"/>
    <sheet name="Arzoxifene" sheetId="16" r:id="rId34"/>
    <sheet name="LY2062430" sheetId="26" r:id="rId35"/>
    <sheet name="LY2140023" sheetId="24" r:id="rId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T7" i="2" l="1"/>
  <c r="G59" i="30"/>
  <c r="G56" i="30"/>
  <c r="G53" i="30"/>
  <c r="H53" i="30" s="1"/>
  <c r="G50" i="30"/>
  <c r="G47" i="30"/>
  <c r="G44" i="30"/>
  <c r="H56" i="30"/>
  <c r="H50" i="30"/>
  <c r="H47" i="30"/>
  <c r="H44" i="30"/>
  <c r="F56" i="30"/>
  <c r="I59" i="30"/>
  <c r="I56" i="30"/>
  <c r="I53" i="30"/>
  <c r="E59" i="30"/>
  <c r="E56" i="30"/>
  <c r="F53" i="30" s="1"/>
  <c r="E53" i="30"/>
  <c r="F50" i="30" s="1"/>
  <c r="I50" i="30"/>
  <c r="I47" i="30"/>
  <c r="I44" i="30"/>
  <c r="F47" i="30"/>
  <c r="E50" i="30"/>
  <c r="DT6" i="2"/>
  <c r="F44" i="30"/>
  <c r="E47" i="30"/>
  <c r="E44" i="30"/>
  <c r="DF161" i="2"/>
  <c r="DF160" i="2"/>
  <c r="DF159" i="2"/>
  <c r="DF158" i="2"/>
  <c r="DF157" i="2"/>
  <c r="DJ161" i="2"/>
  <c r="DJ160" i="2"/>
  <c r="DJ159" i="2"/>
  <c r="DJ158" i="2"/>
  <c r="DJ157" i="2"/>
  <c r="DN161" i="2"/>
  <c r="DN160" i="2"/>
  <c r="DN159" i="2"/>
  <c r="DN158" i="2"/>
  <c r="DN157" i="2"/>
  <c r="DR161" i="2"/>
  <c r="DR160" i="2"/>
  <c r="DR159" i="2"/>
  <c r="DR158" i="2"/>
  <c r="DR157" i="2"/>
  <c r="DS99" i="2"/>
  <c r="DS101" i="2"/>
  <c r="DV75" i="2"/>
  <c r="DU75" i="2"/>
  <c r="DT75" i="2"/>
  <c r="DV74" i="2"/>
  <c r="DU74" i="2"/>
  <c r="DT74" i="2"/>
  <c r="DS154" i="2"/>
  <c r="DS150" i="2"/>
  <c r="DS148" i="2"/>
  <c r="DS145" i="2"/>
  <c r="DS139" i="2"/>
  <c r="DS142" i="2"/>
  <c r="DS136" i="2"/>
  <c r="DS125" i="2"/>
  <c r="DS114" i="2"/>
  <c r="DS107" i="2"/>
  <c r="DS112" i="2"/>
  <c r="DR99" i="2"/>
  <c r="DV99" i="2"/>
  <c r="DU99" i="2"/>
  <c r="DT99" i="2"/>
  <c r="DV91" i="2"/>
  <c r="DU91" i="2"/>
  <c r="DT91" i="2"/>
  <c r="DS91" i="2"/>
  <c r="DV90" i="2"/>
  <c r="DU90" i="2"/>
  <c r="DT90" i="2"/>
  <c r="DS90" i="2"/>
  <c r="DV89" i="2"/>
  <c r="DU89" i="2"/>
  <c r="DT89" i="2"/>
  <c r="DS89" i="2"/>
  <c r="DT88" i="2"/>
  <c r="DS88" i="2"/>
  <c r="DV87" i="2"/>
  <c r="DU87" i="2"/>
  <c r="DT87" i="2"/>
  <c r="DS87" i="2"/>
  <c r="DT71" i="2"/>
  <c r="DT96" i="2" s="1"/>
  <c r="DS71" i="2"/>
  <c r="DS73" i="2" s="1"/>
  <c r="DS94" i="2" s="1"/>
  <c r="AE3" i="33"/>
  <c r="DR154" i="2"/>
  <c r="DR149" i="2"/>
  <c r="DR150" i="2" s="1"/>
  <c r="DR148" i="2"/>
  <c r="DR147" i="2"/>
  <c r="DR146" i="2"/>
  <c r="DR145" i="2"/>
  <c r="DR144" i="2"/>
  <c r="DR140" i="2"/>
  <c r="DR141" i="2"/>
  <c r="DR139" i="2"/>
  <c r="DR138" i="2"/>
  <c r="DR142" i="2"/>
  <c r="DR135" i="2"/>
  <c r="DR134" i="2"/>
  <c r="DR133" i="2"/>
  <c r="DR132" i="2"/>
  <c r="DR131" i="2"/>
  <c r="DR130" i="2"/>
  <c r="DR129" i="2"/>
  <c r="DR128" i="2"/>
  <c r="DR136" i="2"/>
  <c r="DR114" i="2"/>
  <c r="DR125" i="2"/>
  <c r="DR101" i="2"/>
  <c r="DR112" i="2"/>
  <c r="DR107" i="2"/>
  <c r="FL75" i="2"/>
  <c r="FK75" i="2"/>
  <c r="DT83" i="2"/>
  <c r="DU83" i="2" s="1"/>
  <c r="DV83" i="2" s="1"/>
  <c r="FK83" i="2"/>
  <c r="FQ9" i="2"/>
  <c r="FR9" i="2" s="1"/>
  <c r="FP9" i="2"/>
  <c r="FO13" i="2"/>
  <c r="FP13" i="2" s="1"/>
  <c r="FQ13" i="2" s="1"/>
  <c r="FR13" i="2" s="1"/>
  <c r="FS13" i="2" s="1"/>
  <c r="FT13" i="2" s="1"/>
  <c r="FU13" i="2" s="1"/>
  <c r="FV13" i="2" s="1"/>
  <c r="FR8" i="2"/>
  <c r="FS8" i="2" s="1"/>
  <c r="FT8" i="2" s="1"/>
  <c r="FU8" i="2" s="1"/>
  <c r="FV8" i="2" s="1"/>
  <c r="FJ39" i="2"/>
  <c r="FJ38" i="2"/>
  <c r="DR23" i="2"/>
  <c r="DR20" i="2"/>
  <c r="DR19" i="2"/>
  <c r="DR16" i="2"/>
  <c r="DR15" i="2"/>
  <c r="DS85" i="2" l="1"/>
  <c r="DS95" i="2"/>
  <c r="DS96" i="2"/>
  <c r="DT95" i="2"/>
  <c r="FS9" i="2"/>
  <c r="FL35" i="2"/>
  <c r="FL32" i="2"/>
  <c r="FL31" i="2"/>
  <c r="DV12" i="2"/>
  <c r="DU12" i="2"/>
  <c r="DT12" i="2"/>
  <c r="FK5" i="2"/>
  <c r="FK6" i="2"/>
  <c r="FK7" i="2"/>
  <c r="FT9" i="2" l="1"/>
  <c r="FU9" i="2" s="1"/>
  <c r="FV9" i="2" s="1"/>
  <c r="FK3" i="2"/>
  <c r="DQ24" i="2"/>
  <c r="DQ33" i="2"/>
  <c r="DU33" i="2" s="1"/>
  <c r="FL29" i="2"/>
  <c r="DQ114" i="2"/>
  <c r="DQ125" i="2" s="1"/>
  <c r="DQ101" i="2"/>
  <c r="DQ107" i="2"/>
  <c r="DQ112" i="2" s="1"/>
  <c r="DK71" i="2"/>
  <c r="DM72" i="2"/>
  <c r="DQ72" i="2"/>
  <c r="DR45" i="2"/>
  <c r="DR43" i="2"/>
  <c r="DR40" i="2"/>
  <c r="DR39" i="2"/>
  <c r="DR38" i="2"/>
  <c r="DR34" i="2"/>
  <c r="DT33" i="2"/>
  <c r="DU30" i="2"/>
  <c r="DT30" i="2"/>
  <c r="DU28" i="2"/>
  <c r="DT28" i="2"/>
  <c r="DU27" i="2"/>
  <c r="DT27" i="2"/>
  <c r="DU26" i="2"/>
  <c r="DT26" i="2"/>
  <c r="DU25" i="2"/>
  <c r="DT25" i="2"/>
  <c r="DT24" i="2"/>
  <c r="DU23" i="2"/>
  <c r="DT23" i="2"/>
  <c r="DU22" i="2"/>
  <c r="DT22" i="2"/>
  <c r="DU21" i="2"/>
  <c r="DT21" i="2"/>
  <c r="DU20" i="2"/>
  <c r="DT20" i="2"/>
  <c r="DU19" i="2"/>
  <c r="DT19" i="2"/>
  <c r="DU17" i="2"/>
  <c r="DT17" i="2"/>
  <c r="DU11" i="2"/>
  <c r="DT11" i="2"/>
  <c r="DT36" i="2" l="1"/>
  <c r="DU36" i="2" s="1"/>
  <c r="DV36" i="2" s="1"/>
  <c r="FK39" i="2"/>
  <c r="DT37" i="2"/>
  <c r="DU37" i="2" s="1"/>
  <c r="DV37" i="2" s="1"/>
  <c r="FL37" i="2" s="1"/>
  <c r="FK38" i="2"/>
  <c r="DT43" i="2"/>
  <c r="DU43" i="2" s="1"/>
  <c r="DV43" i="2" s="1"/>
  <c r="FL23" i="2"/>
  <c r="FK40" i="2"/>
  <c r="DT45" i="2"/>
  <c r="DU45" i="2" s="1"/>
  <c r="DV45" i="2" s="1"/>
  <c r="DT16" i="2"/>
  <c r="DU16" i="2" s="1"/>
  <c r="DV16" i="2" s="1"/>
  <c r="DU24" i="2"/>
  <c r="DQ71" i="2"/>
  <c r="DQ73" i="2" s="1"/>
  <c r="DT34" i="2"/>
  <c r="DU34" i="2" s="1"/>
  <c r="DV34" i="2" s="1"/>
  <c r="DV76" i="2"/>
  <c r="DU76" i="2"/>
  <c r="DT76" i="2"/>
  <c r="DS76" i="2"/>
  <c r="DP71" i="2"/>
  <c r="DO71" i="2"/>
  <c r="FK37" i="2"/>
  <c r="FK36" i="2"/>
  <c r="DV23" i="2"/>
  <c r="FL12" i="2"/>
  <c r="DV11" i="2"/>
  <c r="FL11" i="2" s="1"/>
  <c r="DR30" i="2"/>
  <c r="DV30" i="2" s="1"/>
  <c r="FL30" i="2" s="1"/>
  <c r="DR28" i="2"/>
  <c r="DV28" i="2" s="1"/>
  <c r="FL28" i="2" s="1"/>
  <c r="DR26" i="2"/>
  <c r="DV26" i="2" s="1"/>
  <c r="FL26" i="2" s="1"/>
  <c r="DV20" i="2"/>
  <c r="FL20" i="2" s="1"/>
  <c r="DV19" i="2"/>
  <c r="FL19" i="2" s="1"/>
  <c r="DP75" i="2"/>
  <c r="FM37" i="2" l="1"/>
  <c r="FN37" i="2" s="1"/>
  <c r="FO37" i="2" s="1"/>
  <c r="FP37" i="2" s="1"/>
  <c r="FQ37" i="2" s="1"/>
  <c r="FR37" i="2" s="1"/>
  <c r="FS37" i="2" s="1"/>
  <c r="FT37" i="2" s="1"/>
  <c r="FU37" i="2" s="1"/>
  <c r="FV37" i="2" s="1"/>
  <c r="FL36" i="2"/>
  <c r="FM36" i="2" s="1"/>
  <c r="FN36" i="2" s="1"/>
  <c r="FO36" i="2" s="1"/>
  <c r="FP36" i="2" s="1"/>
  <c r="FQ36" i="2" s="1"/>
  <c r="FR36" i="2" s="1"/>
  <c r="FS36" i="2" s="1"/>
  <c r="FT36" i="2" s="1"/>
  <c r="FU36" i="2" s="1"/>
  <c r="FV36" i="2" s="1"/>
  <c r="FL45" i="2"/>
  <c r="FL16" i="2"/>
  <c r="FL43" i="2"/>
  <c r="DT38" i="2"/>
  <c r="DU38" i="2" s="1"/>
  <c r="DV38" i="2" s="1"/>
  <c r="DT39" i="2"/>
  <c r="DU39" i="2" s="1"/>
  <c r="DV39" i="2" s="1"/>
  <c r="FL39" i="2"/>
  <c r="FM39" i="2" s="1"/>
  <c r="FN39" i="2" s="1"/>
  <c r="FO39" i="2" s="1"/>
  <c r="FP39" i="2" s="1"/>
  <c r="FQ39" i="2" s="1"/>
  <c r="FR39" i="2" s="1"/>
  <c r="FS39" i="2" s="1"/>
  <c r="FT39" i="2" s="1"/>
  <c r="FU39" i="2" s="1"/>
  <c r="FV39" i="2" s="1"/>
  <c r="FL34" i="2"/>
  <c r="DT40" i="2"/>
  <c r="DU40" i="2" s="1"/>
  <c r="DV40" i="2" s="1"/>
  <c r="DU7" i="2"/>
  <c r="DV7" i="2" s="1"/>
  <c r="DU6" i="2"/>
  <c r="F54" i="2"/>
  <c r="F55" i="2"/>
  <c r="F45" i="2"/>
  <c r="F17" i="2"/>
  <c r="F56" i="2"/>
  <c r="F53" i="2"/>
  <c r="AR21" i="2"/>
  <c r="AS21" i="2" s="1"/>
  <c r="AT21" i="2" s="1"/>
  <c r="AU21" i="2" s="1"/>
  <c r="AV21" i="2" s="1"/>
  <c r="AW21" i="2" s="1"/>
  <c r="E71" i="2"/>
  <c r="D71" i="2"/>
  <c r="C71" i="2"/>
  <c r="J54" i="2"/>
  <c r="J61" i="2"/>
  <c r="J17" i="2"/>
  <c r="J50" i="2"/>
  <c r="J56" i="2"/>
  <c r="J53" i="2"/>
  <c r="I71" i="2"/>
  <c r="H71" i="2"/>
  <c r="G71" i="2"/>
  <c r="N56" i="2"/>
  <c r="N54" i="2"/>
  <c r="N17" i="2"/>
  <c r="N50" i="2"/>
  <c r="N61" i="2"/>
  <c r="N53" i="2"/>
  <c r="N29" i="2"/>
  <c r="M71" i="2"/>
  <c r="L71" i="2"/>
  <c r="R65" i="2"/>
  <c r="R50" i="2"/>
  <c r="R61" i="2"/>
  <c r="R15" i="2"/>
  <c r="R53" i="2"/>
  <c r="R29" i="2"/>
  <c r="O56" i="2"/>
  <c r="O71" i="2" s="1"/>
  <c r="Q17" i="2"/>
  <c r="Q71" i="2" s="1"/>
  <c r="P17" i="2"/>
  <c r="P71" i="2" s="1"/>
  <c r="V56" i="2"/>
  <c r="V65" i="2"/>
  <c r="V61" i="2"/>
  <c r="V53" i="2"/>
  <c r="V50" i="2"/>
  <c r="V15" i="2"/>
  <c r="V17" i="2"/>
  <c r="V29" i="2"/>
  <c r="U71" i="2"/>
  <c r="T71" i="2"/>
  <c r="S71" i="2"/>
  <c r="Z53" i="2"/>
  <c r="Z17" i="2"/>
  <c r="Z15" i="2"/>
  <c r="AH17" i="2"/>
  <c r="AH15" i="2"/>
  <c r="AH65" i="2"/>
  <c r="AH64" i="2"/>
  <c r="AH61" i="2"/>
  <c r="AH53" i="2"/>
  <c r="AH50" i="2"/>
  <c r="AH29" i="2"/>
  <c r="AD15" i="2"/>
  <c r="AD17" i="2"/>
  <c r="AD65" i="2"/>
  <c r="AD61" i="2"/>
  <c r="AD50" i="2"/>
  <c r="AD29" i="2"/>
  <c r="AA53" i="2"/>
  <c r="AA71" i="2" s="1"/>
  <c r="Z65" i="2"/>
  <c r="Z61" i="2"/>
  <c r="Z50" i="2"/>
  <c r="Z29" i="2"/>
  <c r="Y71" i="2"/>
  <c r="X71" i="2"/>
  <c r="W71" i="2"/>
  <c r="AC71" i="2"/>
  <c r="AB71" i="2"/>
  <c r="AG71" i="2"/>
  <c r="AF71" i="2"/>
  <c r="AE71" i="2"/>
  <c r="DB154" i="2"/>
  <c r="DC154" i="2"/>
  <c r="DD154" i="2"/>
  <c r="DE154" i="2"/>
  <c r="DF154" i="2"/>
  <c r="DG154" i="2"/>
  <c r="DH154" i="2"/>
  <c r="DI154" i="2"/>
  <c r="DJ154" i="2"/>
  <c r="DK154" i="2"/>
  <c r="DL154" i="2"/>
  <c r="DN154" i="2"/>
  <c r="DO154" i="2"/>
  <c r="DP154" i="2"/>
  <c r="FE29" i="2"/>
  <c r="FE27" i="2"/>
  <c r="FE26" i="2"/>
  <c r="FE25" i="2"/>
  <c r="FE24" i="2"/>
  <c r="FE23" i="2"/>
  <c r="FE22" i="2"/>
  <c r="FE21" i="2"/>
  <c r="FE20" i="2"/>
  <c r="FE19" i="2"/>
  <c r="FE17" i="2"/>
  <c r="FE16" i="2"/>
  <c r="FE15" i="2"/>
  <c r="FE14" i="2"/>
  <c r="FE12" i="2"/>
  <c r="FE11" i="2"/>
  <c r="EG85" i="2"/>
  <c r="EH85" i="2"/>
  <c r="EH54" i="2"/>
  <c r="EI85" i="2"/>
  <c r="EJ76" i="2"/>
  <c r="EJ73" i="2"/>
  <c r="EJ77" i="2" s="1"/>
  <c r="EJ79" i="2" s="1"/>
  <c r="EJ81" i="2" s="1"/>
  <c r="EJ82" i="2" s="1"/>
  <c r="DV6" i="2" l="1"/>
  <c r="DU71" i="2"/>
  <c r="DU88" i="2"/>
  <c r="FL40" i="2"/>
  <c r="FM40" i="2" s="1"/>
  <c r="FN40" i="2" s="1"/>
  <c r="FO40" i="2" s="1"/>
  <c r="FP40" i="2" s="1"/>
  <c r="FQ40" i="2" s="1"/>
  <c r="FR40" i="2" s="1"/>
  <c r="FS40" i="2" s="1"/>
  <c r="FT40" i="2" s="1"/>
  <c r="FU40" i="2" s="1"/>
  <c r="FV40" i="2" s="1"/>
  <c r="FL7" i="2"/>
  <c r="FL38" i="2"/>
  <c r="FM38" i="2" s="1"/>
  <c r="FN38" i="2" s="1"/>
  <c r="FO38" i="2" s="1"/>
  <c r="FP38" i="2" s="1"/>
  <c r="FQ38" i="2" s="1"/>
  <c r="FR38" i="2" s="1"/>
  <c r="FS38" i="2" s="1"/>
  <c r="FT38" i="2" s="1"/>
  <c r="FU38" i="2" s="1"/>
  <c r="FV38" i="2" s="1"/>
  <c r="FL6" i="2"/>
  <c r="FL71" i="2" s="1"/>
  <c r="F71" i="2"/>
  <c r="R17" i="2"/>
  <c r="J71" i="2"/>
  <c r="N71" i="2"/>
  <c r="R56" i="2"/>
  <c r="R71" i="2" s="1"/>
  <c r="K71" i="2"/>
  <c r="V71" i="2"/>
  <c r="AD53" i="2"/>
  <c r="AD71" i="2" s="1"/>
  <c r="Z71" i="2"/>
  <c r="AH71" i="2"/>
  <c r="EJ85" i="2"/>
  <c r="EK85" i="2"/>
  <c r="EN85" i="2"/>
  <c r="EM85" i="2"/>
  <c r="EL85" i="2"/>
  <c r="EM76" i="2"/>
  <c r="EL76" i="2"/>
  <c r="EK76" i="2"/>
  <c r="EN73" i="2"/>
  <c r="EM73" i="2"/>
  <c r="EM77" i="2" s="1"/>
  <c r="EM79" i="2" s="1"/>
  <c r="EM81" i="2" s="1"/>
  <c r="EM82" i="2" s="1"/>
  <c r="EL73" i="2"/>
  <c r="EL77" i="2" s="1"/>
  <c r="EL79" i="2" s="1"/>
  <c r="EL81" i="2" s="1"/>
  <c r="EL82" i="2" s="1"/>
  <c r="EK73" i="2"/>
  <c r="EK77" i="2" s="1"/>
  <c r="EK79" i="2" s="1"/>
  <c r="EK81" i="2" s="1"/>
  <c r="EK82" i="2" s="1"/>
  <c r="FC22" i="2"/>
  <c r="FC21" i="2"/>
  <c r="FC20" i="2"/>
  <c r="FC17" i="2"/>
  <c r="FC15" i="2"/>
  <c r="FB17" i="2"/>
  <c r="FB16" i="2"/>
  <c r="FB15" i="2"/>
  <c r="FA17" i="2"/>
  <c r="FA16" i="2"/>
  <c r="FA15" i="2"/>
  <c r="FA5" i="2"/>
  <c r="FA3" i="2" s="1"/>
  <c r="FB22" i="2"/>
  <c r="FB14" i="2"/>
  <c r="FC14" i="2"/>
  <c r="FC11" i="2"/>
  <c r="FC5" i="2"/>
  <c r="FC3" i="2" s="1"/>
  <c r="FB5" i="2"/>
  <c r="FD19" i="2"/>
  <c r="FD17" i="2"/>
  <c r="FD16" i="2"/>
  <c r="FD15" i="2"/>
  <c r="FD14" i="2"/>
  <c r="FD12" i="2"/>
  <c r="FE90" i="2" s="1"/>
  <c r="FD11" i="2"/>
  <c r="FE89" i="2" s="1"/>
  <c r="FF123" i="2"/>
  <c r="FF121" i="2"/>
  <c r="FF120" i="2"/>
  <c r="FF119" i="2"/>
  <c r="FF118" i="2"/>
  <c r="FF117" i="2"/>
  <c r="FF116" i="2"/>
  <c r="FF115" i="2"/>
  <c r="FF110" i="2"/>
  <c r="FF109" i="2"/>
  <c r="FF108" i="2"/>
  <c r="FF106" i="2"/>
  <c r="FF105" i="2"/>
  <c r="FF104" i="2"/>
  <c r="FF103" i="2"/>
  <c r="FF102" i="2"/>
  <c r="FG124" i="2"/>
  <c r="FG123" i="2"/>
  <c r="FG121" i="2"/>
  <c r="FG120" i="2"/>
  <c r="FG119" i="2"/>
  <c r="FG118" i="2"/>
  <c r="FG117" i="2"/>
  <c r="FG116" i="2"/>
  <c r="FG115" i="2"/>
  <c r="FG111" i="2"/>
  <c r="FG110" i="2"/>
  <c r="FG109" i="2"/>
  <c r="FG108" i="2"/>
  <c r="FG106" i="2"/>
  <c r="FG105" i="2"/>
  <c r="FG104" i="2"/>
  <c r="FG103" i="2"/>
  <c r="FG102" i="2"/>
  <c r="FF83" i="2"/>
  <c r="FF80" i="2"/>
  <c r="FF78" i="2"/>
  <c r="FF75" i="2"/>
  <c r="FF74" i="2"/>
  <c r="FF72" i="2"/>
  <c r="FF35" i="2"/>
  <c r="FF34" i="2"/>
  <c r="FF30" i="2"/>
  <c r="FF27" i="2"/>
  <c r="FF23" i="2"/>
  <c r="FF22" i="2"/>
  <c r="FF20" i="2"/>
  <c r="FF19" i="2"/>
  <c r="FF17" i="2"/>
  <c r="FF16" i="2"/>
  <c r="FF15" i="2"/>
  <c r="FF14" i="2"/>
  <c r="FF12" i="2"/>
  <c r="FF90" i="2" s="1"/>
  <c r="FF11" i="2"/>
  <c r="FF89" i="2" s="1"/>
  <c r="FF5" i="2"/>
  <c r="FF3" i="2" s="1"/>
  <c r="CX24" i="2"/>
  <c r="FF24" i="2" s="1"/>
  <c r="CX25" i="2"/>
  <c r="FF25" i="2" s="1"/>
  <c r="CX33" i="2"/>
  <c r="FF33" i="2" s="1"/>
  <c r="CX28" i="2"/>
  <c r="FF28" i="2" s="1"/>
  <c r="CX124" i="2"/>
  <c r="FF124" i="2" s="1"/>
  <c r="CX122" i="2"/>
  <c r="FF122" i="2" s="1"/>
  <c r="CX114" i="2"/>
  <c r="FF114" i="2" s="1"/>
  <c r="CX101" i="2"/>
  <c r="CX111" i="2"/>
  <c r="FF111" i="2" s="1"/>
  <c r="CX107" i="2"/>
  <c r="FF107" i="2" s="1"/>
  <c r="CX44" i="2"/>
  <c r="FF44" i="2" s="1"/>
  <c r="CX29" i="2"/>
  <c r="FF29" i="2" s="1"/>
  <c r="CX32" i="2"/>
  <c r="FF32" i="2" s="1"/>
  <c r="CX31" i="2"/>
  <c r="FF31" i="2" s="1"/>
  <c r="CX21" i="2"/>
  <c r="FF21" i="2" s="1"/>
  <c r="CW26" i="2"/>
  <c r="CW123" i="2"/>
  <c r="CW122" i="2"/>
  <c r="CW114" i="2"/>
  <c r="CW101" i="2"/>
  <c r="CW107" i="2"/>
  <c r="CV26" i="2"/>
  <c r="CV149" i="2"/>
  <c r="CV147" i="2"/>
  <c r="CV146" i="2"/>
  <c r="CV144" i="2"/>
  <c r="CW144" i="2" s="1"/>
  <c r="CV141" i="2"/>
  <c r="CW141" i="2" s="1"/>
  <c r="CX141" i="2" s="1"/>
  <c r="FF141" i="2" s="1"/>
  <c r="CV138" i="2"/>
  <c r="CW138" i="2" s="1"/>
  <c r="CX138" i="2" s="1"/>
  <c r="CV135" i="2"/>
  <c r="CW135" i="2" s="1"/>
  <c r="CX135" i="2" s="1"/>
  <c r="FF135" i="2" s="1"/>
  <c r="CV134" i="2"/>
  <c r="CW134" i="2" s="1"/>
  <c r="CV133" i="2"/>
  <c r="CW133" i="2" s="1"/>
  <c r="CX133" i="2" s="1"/>
  <c r="FF133" i="2" s="1"/>
  <c r="CV132" i="2"/>
  <c r="CW132" i="2" s="1"/>
  <c r="CX132" i="2" s="1"/>
  <c r="FF132" i="2" s="1"/>
  <c r="CV131" i="2"/>
  <c r="CV130" i="2"/>
  <c r="CV129" i="2"/>
  <c r="CV128" i="2"/>
  <c r="CW128" i="2" s="1"/>
  <c r="CX128" i="2" s="1"/>
  <c r="CV123" i="2"/>
  <c r="CV122" i="2"/>
  <c r="CV114" i="2"/>
  <c r="CV107" i="2"/>
  <c r="CV101" i="2"/>
  <c r="CQ26" i="2"/>
  <c r="CU26" i="2"/>
  <c r="CU145" i="2"/>
  <c r="CU140" i="2"/>
  <c r="CV140" i="2" s="1"/>
  <c r="CW140" i="2" s="1"/>
  <c r="CU139" i="2"/>
  <c r="CV139" i="2" s="1"/>
  <c r="CU136" i="2"/>
  <c r="CU123" i="2"/>
  <c r="CU122" i="2"/>
  <c r="CU114" i="2"/>
  <c r="CU107" i="2"/>
  <c r="CU101" i="2"/>
  <c r="DB122" i="2"/>
  <c r="DB114" i="2"/>
  <c r="FG114" i="2" s="1"/>
  <c r="DB107" i="2"/>
  <c r="FG107" i="2" s="1"/>
  <c r="DB101" i="2"/>
  <c r="FG101" i="2" s="1"/>
  <c r="FG83" i="2"/>
  <c r="FG80" i="2"/>
  <c r="FG78" i="2"/>
  <c r="DA122" i="2"/>
  <c r="DA114" i="2"/>
  <c r="DA107" i="2"/>
  <c r="DA101" i="2"/>
  <c r="CZ149" i="2"/>
  <c r="DA149" i="2" s="1"/>
  <c r="DB149" i="2" s="1"/>
  <c r="FG149" i="2" s="1"/>
  <c r="CZ147" i="2"/>
  <c r="DA147" i="2" s="1"/>
  <c r="DB147" i="2" s="1"/>
  <c r="CZ146" i="2"/>
  <c r="DA146" i="2" s="1"/>
  <c r="CZ144" i="2"/>
  <c r="DA144" i="2" s="1"/>
  <c r="DB144" i="2" s="1"/>
  <c r="CZ141" i="2"/>
  <c r="DA141" i="2" s="1"/>
  <c r="DB141" i="2" s="1"/>
  <c r="CZ138" i="2"/>
  <c r="DA138" i="2" s="1"/>
  <c r="CZ135" i="2"/>
  <c r="DA135" i="2" s="1"/>
  <c r="CZ134" i="2"/>
  <c r="DA134" i="2" s="1"/>
  <c r="DB134" i="2" s="1"/>
  <c r="CZ133" i="2"/>
  <c r="DA133" i="2" s="1"/>
  <c r="DB133" i="2" s="1"/>
  <c r="CZ132" i="2"/>
  <c r="DA132" i="2" s="1"/>
  <c r="CZ131" i="2"/>
  <c r="DA131" i="2" s="1"/>
  <c r="DB131" i="2" s="1"/>
  <c r="CZ130" i="2"/>
  <c r="DA130" i="2" s="1"/>
  <c r="DB130" i="2" s="1"/>
  <c r="CZ129" i="2"/>
  <c r="DA129" i="2" s="1"/>
  <c r="CZ128" i="2"/>
  <c r="DA128" i="2" s="1"/>
  <c r="DB128" i="2" s="1"/>
  <c r="FG128" i="2" s="1"/>
  <c r="CZ122" i="2"/>
  <c r="CZ114" i="2"/>
  <c r="CZ101" i="2"/>
  <c r="CZ107" i="2"/>
  <c r="CY145" i="2"/>
  <c r="CZ145" i="2" s="1"/>
  <c r="DA145" i="2" s="1"/>
  <c r="CY140" i="2"/>
  <c r="CZ140" i="2" s="1"/>
  <c r="DA140" i="2" s="1"/>
  <c r="DB140" i="2" s="1"/>
  <c r="CY139" i="2"/>
  <c r="CY136" i="2"/>
  <c r="CY122" i="2"/>
  <c r="CY114" i="2"/>
  <c r="CY101" i="2"/>
  <c r="CY107" i="2"/>
  <c r="FH124" i="2"/>
  <c r="FH123" i="2"/>
  <c r="FH121" i="2"/>
  <c r="FH120" i="2"/>
  <c r="FH119" i="2"/>
  <c r="FH118" i="2"/>
  <c r="FH117" i="2"/>
  <c r="FH116" i="2"/>
  <c r="FH115" i="2"/>
  <c r="FH111" i="2"/>
  <c r="FH110" i="2"/>
  <c r="FH108" i="2"/>
  <c r="FH105" i="2"/>
  <c r="FH104" i="2"/>
  <c r="FH103" i="2"/>
  <c r="FH102" i="2"/>
  <c r="FH80" i="2"/>
  <c r="FH78" i="2"/>
  <c r="FH75" i="2"/>
  <c r="FH74" i="2"/>
  <c r="FH72" i="2"/>
  <c r="FH45" i="2"/>
  <c r="FH44" i="2"/>
  <c r="FH43" i="2"/>
  <c r="FH42" i="2"/>
  <c r="FH35" i="2"/>
  <c r="FH34" i="2"/>
  <c r="FH33" i="2"/>
  <c r="FH32" i="2"/>
  <c r="FH30" i="2"/>
  <c r="FH28" i="2"/>
  <c r="FH27" i="2"/>
  <c r="FH26" i="2"/>
  <c r="FH24" i="2"/>
  <c r="FH23" i="2"/>
  <c r="FH22" i="2"/>
  <c r="FH20" i="2"/>
  <c r="FH19" i="2"/>
  <c r="FH16" i="2"/>
  <c r="FH14" i="2"/>
  <c r="FH12" i="2"/>
  <c r="FH11" i="2"/>
  <c r="FH10" i="2"/>
  <c r="DD149" i="2"/>
  <c r="DE149" i="2" s="1"/>
  <c r="DD147" i="2"/>
  <c r="DE147" i="2" s="1"/>
  <c r="DF147" i="2" s="1"/>
  <c r="DD146" i="2"/>
  <c r="DE146" i="2" s="1"/>
  <c r="DF146" i="2" s="1"/>
  <c r="DD145" i="2"/>
  <c r="DE145" i="2" s="1"/>
  <c r="DD144" i="2"/>
  <c r="DE144" i="2" s="1"/>
  <c r="DD141" i="2"/>
  <c r="DE141" i="2" s="1"/>
  <c r="DF141" i="2" s="1"/>
  <c r="DD138" i="2"/>
  <c r="DE138" i="2" s="1"/>
  <c r="DF138" i="2" s="1"/>
  <c r="DD135" i="2"/>
  <c r="DD134" i="2"/>
  <c r="DD133" i="2"/>
  <c r="DE133" i="2" s="1"/>
  <c r="DF133" i="2" s="1"/>
  <c r="DD132" i="2"/>
  <c r="DD131" i="2"/>
  <c r="DE131" i="2" s="1"/>
  <c r="DF131" i="2" s="1"/>
  <c r="DD130" i="2"/>
  <c r="DE130" i="2" s="1"/>
  <c r="DD129" i="2"/>
  <c r="DE129" i="2" s="1"/>
  <c r="DD128" i="2"/>
  <c r="DE128" i="2" s="1"/>
  <c r="FE87" i="2"/>
  <c r="FI124" i="2"/>
  <c r="FI123" i="2"/>
  <c r="FI121" i="2"/>
  <c r="FI120" i="2"/>
  <c r="FI119" i="2"/>
  <c r="FI118" i="2"/>
  <c r="FI117" i="2"/>
  <c r="FI116" i="2"/>
  <c r="FI115" i="2"/>
  <c r="FI111" i="2"/>
  <c r="FI110" i="2"/>
  <c r="FI109" i="2"/>
  <c r="FI108" i="2"/>
  <c r="FI106" i="2"/>
  <c r="FI105" i="2"/>
  <c r="FI104" i="2"/>
  <c r="FI103" i="2"/>
  <c r="FI102" i="2"/>
  <c r="FJ124" i="2"/>
  <c r="FJ123" i="2"/>
  <c r="FJ122" i="2"/>
  <c r="FJ121" i="2"/>
  <c r="FJ120" i="2"/>
  <c r="FJ119" i="2"/>
  <c r="FJ118" i="2"/>
  <c r="FJ117" i="2"/>
  <c r="FJ116" i="2"/>
  <c r="FJ115" i="2"/>
  <c r="FJ111" i="2"/>
  <c r="FJ110" i="2"/>
  <c r="FJ109" i="2"/>
  <c r="FJ108" i="2"/>
  <c r="FJ106" i="2"/>
  <c r="FJ105" i="2"/>
  <c r="FJ104" i="2"/>
  <c r="FJ103" i="2"/>
  <c r="FJ102" i="2"/>
  <c r="FI34" i="2"/>
  <c r="FI30" i="2"/>
  <c r="FI27" i="2"/>
  <c r="FI23" i="2"/>
  <c r="FI22" i="2"/>
  <c r="FI20" i="2"/>
  <c r="FI19" i="2"/>
  <c r="FI16" i="2"/>
  <c r="FI14" i="2"/>
  <c r="FI12" i="2"/>
  <c r="FI11" i="2"/>
  <c r="FI10" i="2"/>
  <c r="FI6" i="2"/>
  <c r="FI5" i="2"/>
  <c r="DJ28" i="2"/>
  <c r="FI28" i="2" s="1"/>
  <c r="DJ33" i="2"/>
  <c r="FI33" i="2" s="1"/>
  <c r="DJ41" i="2"/>
  <c r="FI41" i="2" s="1"/>
  <c r="DI24" i="2"/>
  <c r="DG24" i="2"/>
  <c r="DJ122" i="2"/>
  <c r="FI122" i="2" s="1"/>
  <c r="DJ114" i="2"/>
  <c r="FI114" i="2" s="1"/>
  <c r="DJ107" i="2"/>
  <c r="FI107" i="2" s="1"/>
  <c r="DJ101" i="2"/>
  <c r="FI101" i="2" s="1"/>
  <c r="DJ31" i="2"/>
  <c r="FI31" i="2" s="1"/>
  <c r="DJ29" i="2"/>
  <c r="FI29" i="2" s="1"/>
  <c r="DJ25" i="2"/>
  <c r="FI25" i="2" s="1"/>
  <c r="DJ21" i="2"/>
  <c r="FI21" i="2" s="1"/>
  <c r="DI26" i="2"/>
  <c r="DI122" i="2"/>
  <c r="DI114" i="2"/>
  <c r="DI107" i="2"/>
  <c r="DI101" i="2"/>
  <c r="DH149" i="2"/>
  <c r="DI149" i="2" s="1"/>
  <c r="DH147" i="2"/>
  <c r="DI147" i="2" s="1"/>
  <c r="DJ147" i="2" s="1"/>
  <c r="DH146" i="2"/>
  <c r="DI146" i="2" s="1"/>
  <c r="DJ146" i="2" s="1"/>
  <c r="DH144" i="2"/>
  <c r="DI144" i="2" s="1"/>
  <c r="DJ144" i="2" s="1"/>
  <c r="DH141" i="2"/>
  <c r="DI141" i="2" s="1"/>
  <c r="DJ141" i="2" s="1"/>
  <c r="DH140" i="2"/>
  <c r="DI140" i="2" s="1"/>
  <c r="DJ140" i="2" s="1"/>
  <c r="DH138" i="2"/>
  <c r="DI138" i="2" s="1"/>
  <c r="DH135" i="2"/>
  <c r="DI135" i="2" s="1"/>
  <c r="DJ135" i="2" s="1"/>
  <c r="DH134" i="2"/>
  <c r="DI134" i="2" s="1"/>
  <c r="DJ134" i="2" s="1"/>
  <c r="DH133" i="2"/>
  <c r="DH132" i="2"/>
  <c r="DI132" i="2" s="1"/>
  <c r="DJ132" i="2" s="1"/>
  <c r="DH131" i="2"/>
  <c r="DI131" i="2" s="1"/>
  <c r="DJ131" i="2" s="1"/>
  <c r="DH130" i="2"/>
  <c r="DI130" i="2" s="1"/>
  <c r="DJ130" i="2" s="1"/>
  <c r="DH129" i="2"/>
  <c r="DI129" i="2" s="1"/>
  <c r="DJ129" i="2" s="1"/>
  <c r="DH128" i="2"/>
  <c r="DI128" i="2" s="1"/>
  <c r="FJ34" i="2"/>
  <c r="FJ30" i="2"/>
  <c r="FJ28" i="2"/>
  <c r="FJ23" i="2"/>
  <c r="FJ20" i="2"/>
  <c r="FJ19" i="2"/>
  <c r="FJ16" i="2"/>
  <c r="FJ15" i="2"/>
  <c r="FJ14" i="2"/>
  <c r="FJ12" i="2"/>
  <c r="FJ11" i="2"/>
  <c r="FJ7" i="2"/>
  <c r="FJ6" i="2"/>
  <c r="FK88" i="2" s="1"/>
  <c r="FJ5" i="2"/>
  <c r="FK87" i="2" s="1"/>
  <c r="DM29" i="2"/>
  <c r="DL35" i="2"/>
  <c r="FJ35" i="2" s="1"/>
  <c r="DL33" i="2"/>
  <c r="DN27" i="2"/>
  <c r="DN25" i="2"/>
  <c r="DR25" i="2" s="1"/>
  <c r="DN22" i="2"/>
  <c r="DR22" i="2" s="1"/>
  <c r="DN21" i="2"/>
  <c r="DR21" i="2" s="1"/>
  <c r="DN17" i="2"/>
  <c r="DR17" i="2" s="1"/>
  <c r="DM26" i="2"/>
  <c r="DM114" i="2"/>
  <c r="DM125" i="2" s="1"/>
  <c r="DM107" i="2"/>
  <c r="DM101" i="2"/>
  <c r="DL26" i="2"/>
  <c r="DO80" i="2"/>
  <c r="DO72" i="2"/>
  <c r="DP80" i="2"/>
  <c r="DP91" i="2"/>
  <c r="DP90" i="2"/>
  <c r="DP89" i="2"/>
  <c r="DP88" i="2"/>
  <c r="DP87" i="2"/>
  <c r="DP72" i="2"/>
  <c r="DP149" i="2"/>
  <c r="DQ149" i="2" s="1"/>
  <c r="DP147" i="2"/>
  <c r="DQ147" i="2" s="1"/>
  <c r="DP146" i="2"/>
  <c r="DQ146" i="2" s="1"/>
  <c r="DP145" i="2"/>
  <c r="DQ145" i="2" s="1"/>
  <c r="DP144" i="2"/>
  <c r="DQ144" i="2" s="1"/>
  <c r="DP140" i="2"/>
  <c r="DQ140" i="2" s="1"/>
  <c r="DP141" i="2"/>
  <c r="DQ141" i="2" s="1"/>
  <c r="DP138" i="2"/>
  <c r="DQ138" i="2" s="1"/>
  <c r="DP135" i="2"/>
  <c r="DQ135" i="2" s="1"/>
  <c r="DP134" i="2"/>
  <c r="DQ134" i="2" s="1"/>
  <c r="DP133" i="2"/>
  <c r="DQ133" i="2" s="1"/>
  <c r="DP132" i="2"/>
  <c r="DQ132" i="2" s="1"/>
  <c r="DP131" i="2"/>
  <c r="DQ131" i="2" s="1"/>
  <c r="DP130" i="2"/>
  <c r="DQ130" i="2" s="1"/>
  <c r="DP129" i="2"/>
  <c r="DQ129" i="2" s="1"/>
  <c r="DP128" i="2"/>
  <c r="DQ128" i="2" s="1"/>
  <c r="DP114" i="2"/>
  <c r="DP125" i="2" s="1"/>
  <c r="DP101" i="2"/>
  <c r="DP107" i="2"/>
  <c r="DQ99" i="2"/>
  <c r="DL149" i="2"/>
  <c r="DM149" i="2" s="1"/>
  <c r="DL147" i="2"/>
  <c r="DM147" i="2" s="1"/>
  <c r="DN147" i="2" s="1"/>
  <c r="DL146" i="2"/>
  <c r="DM146" i="2" s="1"/>
  <c r="DN146" i="2" s="1"/>
  <c r="DL144" i="2"/>
  <c r="DM144" i="2" s="1"/>
  <c r="DL141" i="2"/>
  <c r="DM141" i="2" s="1"/>
  <c r="DN141" i="2" s="1"/>
  <c r="DL140" i="2"/>
  <c r="DM140" i="2" s="1"/>
  <c r="DN140" i="2" s="1"/>
  <c r="DL138" i="2"/>
  <c r="DM138" i="2" s="1"/>
  <c r="DL135" i="2"/>
  <c r="DM135" i="2" s="1"/>
  <c r="DL134" i="2"/>
  <c r="DM134" i="2" s="1"/>
  <c r="DN134" i="2" s="1"/>
  <c r="DL133" i="2"/>
  <c r="DM133" i="2" s="1"/>
  <c r="DN133" i="2" s="1"/>
  <c r="DL132" i="2"/>
  <c r="DM132" i="2" s="1"/>
  <c r="DN132" i="2" s="1"/>
  <c r="DL131" i="2"/>
  <c r="DM131" i="2" s="1"/>
  <c r="DN131" i="2" s="1"/>
  <c r="DL130" i="2"/>
  <c r="DM130" i="2" s="1"/>
  <c r="DN130" i="2" s="1"/>
  <c r="DL129" i="2"/>
  <c r="DM129" i="2" s="1"/>
  <c r="DL128" i="2"/>
  <c r="DM128" i="2" s="1"/>
  <c r="DL115" i="2"/>
  <c r="DL114" i="2"/>
  <c r="DL107" i="2"/>
  <c r="DL101" i="2"/>
  <c r="FJ41" i="2"/>
  <c r="DK145" i="2"/>
  <c r="DL145" i="2" s="1"/>
  <c r="DM145" i="2" s="1"/>
  <c r="DN145" i="2" s="1"/>
  <c r="DK139" i="2"/>
  <c r="DL139" i="2" s="1"/>
  <c r="DM139" i="2" s="1"/>
  <c r="DN139" i="2" s="1"/>
  <c r="DK136" i="2"/>
  <c r="DO148" i="2"/>
  <c r="DO139" i="2"/>
  <c r="DP139" i="2" s="1"/>
  <c r="DQ139" i="2" s="1"/>
  <c r="DO136" i="2"/>
  <c r="DO114" i="2"/>
  <c r="DO125" i="2" s="1"/>
  <c r="DO107" i="2"/>
  <c r="DO101" i="2"/>
  <c r="DO88" i="2"/>
  <c r="DO91" i="2"/>
  <c r="DO90" i="2"/>
  <c r="DO89" i="2"/>
  <c r="DO87" i="2"/>
  <c r="DO78" i="2"/>
  <c r="FE3" i="2"/>
  <c r="FD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DM3" i="2"/>
  <c r="DL3" i="2"/>
  <c r="DK3" i="2"/>
  <c r="DJ3" i="2"/>
  <c r="DI3" i="2"/>
  <c r="DH3" i="2"/>
  <c r="DG3" i="2"/>
  <c r="DF3" i="2"/>
  <c r="DE3" i="2"/>
  <c r="DO3" i="2"/>
  <c r="DN3" i="2"/>
  <c r="L3" i="33"/>
  <c r="K3" i="33"/>
  <c r="J3" i="33"/>
  <c r="I3" i="33"/>
  <c r="BN11" i="33"/>
  <c r="BM11" i="33" s="1"/>
  <c r="BL11" i="33" s="1"/>
  <c r="BK11" i="33" s="1"/>
  <c r="BJ11" i="33" s="1"/>
  <c r="BI11" i="33" s="1"/>
  <c r="BH11" i="33" s="1"/>
  <c r="BG11" i="33" s="1"/>
  <c r="BF11" i="33" s="1"/>
  <c r="BE11" i="33" s="1"/>
  <c r="BD11" i="33" s="1"/>
  <c r="BC11" i="33" s="1"/>
  <c r="BB11" i="33" s="1"/>
  <c r="BA11" i="33" s="1"/>
  <c r="AZ11" i="33" s="1"/>
  <c r="BN10" i="33"/>
  <c r="G13" i="33"/>
  <c r="BS14" i="33"/>
  <c r="BR14" i="33" s="1"/>
  <c r="BQ14" i="33" s="1"/>
  <c r="BP14" i="33" s="1"/>
  <c r="BO14" i="33" s="1"/>
  <c r="BN14" i="33" s="1"/>
  <c r="BM14" i="33" s="1"/>
  <c r="BL14" i="33" s="1"/>
  <c r="BK14" i="33" s="1"/>
  <c r="BJ14" i="33" s="1"/>
  <c r="BI14" i="33" s="1"/>
  <c r="BH14" i="33" s="1"/>
  <c r="BG14" i="33" s="1"/>
  <c r="BF14" i="33" s="1"/>
  <c r="BE14" i="33" s="1"/>
  <c r="BD14" i="33" s="1"/>
  <c r="BC14" i="33" s="1"/>
  <c r="BB14" i="33" s="1"/>
  <c r="BA14" i="33" s="1"/>
  <c r="AZ14" i="33" s="1"/>
  <c r="BS11" i="33"/>
  <c r="BR11" i="33" s="1"/>
  <c r="BQ11" i="33" s="1"/>
  <c r="BP11" i="33" s="1"/>
  <c r="BO11" i="33" s="1"/>
  <c r="BS8" i="33"/>
  <c r="BR8" i="33" s="1"/>
  <c r="BS10" i="33"/>
  <c r="BR10" i="33" s="1"/>
  <c r="BQ10" i="33" s="1"/>
  <c r="BP10" i="33" s="1"/>
  <c r="BO10" i="33" s="1"/>
  <c r="BS13" i="33"/>
  <c r="BR13" i="33" s="1"/>
  <c r="BQ13" i="33" s="1"/>
  <c r="BP13" i="33" s="1"/>
  <c r="BO13" i="33" s="1"/>
  <c r="BN13" i="33" s="1"/>
  <c r="BM13" i="33" s="1"/>
  <c r="BL13" i="33" s="1"/>
  <c r="BK13" i="33" s="1"/>
  <c r="BJ13" i="33" s="1"/>
  <c r="BI13" i="33" s="1"/>
  <c r="BH13" i="33" s="1"/>
  <c r="BG13" i="33" s="1"/>
  <c r="BF13" i="33" s="1"/>
  <c r="BE13" i="33" s="1"/>
  <c r="BD13" i="33" s="1"/>
  <c r="BC13" i="33" s="1"/>
  <c r="BB13" i="33" s="1"/>
  <c r="BA13" i="33" s="1"/>
  <c r="AZ13" i="33" s="1"/>
  <c r="L6" i="34"/>
  <c r="G27" i="34"/>
  <c r="G26" i="34"/>
  <c r="G25" i="34"/>
  <c r="C26" i="34"/>
  <c r="E23" i="34"/>
  <c r="D23" i="34"/>
  <c r="DH3" i="33"/>
  <c r="DG3" i="33"/>
  <c r="DF3" i="33"/>
  <c r="DE3" i="33"/>
  <c r="DD3" i="33"/>
  <c r="DC3" i="33"/>
  <c r="DB3" i="33"/>
  <c r="DA3" i="33"/>
  <c r="CZ3" i="33"/>
  <c r="CY3" i="33"/>
  <c r="CX3" i="33"/>
  <c r="CW3" i="33"/>
  <c r="CV3" i="33"/>
  <c r="CU3" i="33"/>
  <c r="CT3" i="33"/>
  <c r="CS3" i="33"/>
  <c r="CR3" i="33"/>
  <c r="CQ3" i="33"/>
  <c r="CP3" i="33"/>
  <c r="CO3" i="33"/>
  <c r="CN3" i="33"/>
  <c r="CM3" i="33"/>
  <c r="CL3" i="33"/>
  <c r="CK3" i="33"/>
  <c r="CJ3" i="33"/>
  <c r="CI3" i="33"/>
  <c r="CH3" i="33"/>
  <c r="CG3" i="33"/>
  <c r="CF3" i="33"/>
  <c r="CE3" i="33"/>
  <c r="CD3" i="33"/>
  <c r="CC3" i="33"/>
  <c r="CB3" i="33"/>
  <c r="CA3" i="33"/>
  <c r="BZ3" i="33"/>
  <c r="BY3" i="33"/>
  <c r="BX3" i="33"/>
  <c r="BW3" i="33"/>
  <c r="BV3" i="33"/>
  <c r="BU3" i="33"/>
  <c r="BT3" i="33"/>
  <c r="BT22" i="33" s="1"/>
  <c r="BT24" i="33" s="1"/>
  <c r="BT25" i="33" s="1"/>
  <c r="AG36" i="33"/>
  <c r="AG3" i="33" s="1"/>
  <c r="J11" i="33"/>
  <c r="H11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L3" i="33"/>
  <c r="AI3" i="33"/>
  <c r="AH3" i="33"/>
  <c r="L13" i="33"/>
  <c r="K13" i="33"/>
  <c r="L12" i="33"/>
  <c r="K12" i="33"/>
  <c r="L11" i="33"/>
  <c r="L8" i="33"/>
  <c r="K8" i="33"/>
  <c r="AJ10" i="33"/>
  <c r="AJ3" i="33" s="1"/>
  <c r="K10" i="33"/>
  <c r="J10" i="33"/>
  <c r="I10" i="33"/>
  <c r="H10" i="33"/>
  <c r="G10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K41" i="33"/>
  <c r="J41" i="33"/>
  <c r="I41" i="33"/>
  <c r="H41" i="33"/>
  <c r="G41" i="33"/>
  <c r="AF36" i="33"/>
  <c r="AF3" i="33" s="1"/>
  <c r="AE36" i="33"/>
  <c r="AD36" i="33"/>
  <c r="AD3" i="33" s="1"/>
  <c r="AC36" i="33"/>
  <c r="AC3" i="33" s="1"/>
  <c r="AB36" i="33"/>
  <c r="AB3" i="33" s="1"/>
  <c r="H12" i="33"/>
  <c r="G12" i="33"/>
  <c r="G11" i="33"/>
  <c r="AA36" i="33"/>
  <c r="AA3" i="33" s="1"/>
  <c r="Z36" i="33"/>
  <c r="Z3" i="33" s="1"/>
  <c r="Y36" i="33"/>
  <c r="Y3" i="33" s="1"/>
  <c r="X36" i="33"/>
  <c r="X3" i="33" s="1"/>
  <c r="W36" i="33"/>
  <c r="W3" i="33" s="1"/>
  <c r="V36" i="33"/>
  <c r="V3" i="33" s="1"/>
  <c r="U36" i="33"/>
  <c r="U3" i="33" s="1"/>
  <c r="T36" i="33"/>
  <c r="S36" i="33"/>
  <c r="R36" i="33"/>
  <c r="Q36" i="33"/>
  <c r="P36" i="33"/>
  <c r="O36" i="33"/>
  <c r="N36" i="33"/>
  <c r="N3" i="33" s="1"/>
  <c r="DU95" i="2" l="1"/>
  <c r="DU96" i="2"/>
  <c r="DV71" i="2"/>
  <c r="DV88" i="2"/>
  <c r="FL88" i="2"/>
  <c r="DQ148" i="2"/>
  <c r="DM71" i="2"/>
  <c r="DQ142" i="2"/>
  <c r="DQ136" i="2"/>
  <c r="FJ29" i="2"/>
  <c r="FJ21" i="2"/>
  <c r="DV21" i="2"/>
  <c r="FL21" i="2" s="1"/>
  <c r="FJ25" i="2"/>
  <c r="DV25" i="2"/>
  <c r="FL25" i="2" s="1"/>
  <c r="FJ27" i="2"/>
  <c r="DR27" i="2"/>
  <c r="DV27" i="2" s="1"/>
  <c r="FL27" i="2" s="1"/>
  <c r="FJ17" i="2"/>
  <c r="DV17" i="2"/>
  <c r="FL17" i="2" s="1"/>
  <c r="FJ22" i="2"/>
  <c r="DV22" i="2"/>
  <c r="FL22" i="2" s="1"/>
  <c r="CZ125" i="2"/>
  <c r="DL112" i="2"/>
  <c r="DM112" i="2"/>
  <c r="CV112" i="2"/>
  <c r="DN33" i="2"/>
  <c r="DI125" i="2"/>
  <c r="CW99" i="2"/>
  <c r="CY99" i="2"/>
  <c r="DB112" i="2"/>
  <c r="FG112" i="2" s="1"/>
  <c r="CW125" i="2"/>
  <c r="CZ99" i="2"/>
  <c r="FJ139" i="2"/>
  <c r="DP148" i="2"/>
  <c r="FC87" i="2"/>
  <c r="FJ134" i="2"/>
  <c r="CU99" i="2"/>
  <c r="CV125" i="2"/>
  <c r="CY148" i="2"/>
  <c r="FD87" i="2"/>
  <c r="CY125" i="2"/>
  <c r="DA125" i="2"/>
  <c r="FF87" i="2"/>
  <c r="CV99" i="2"/>
  <c r="DB125" i="2"/>
  <c r="FG125" i="2" s="1"/>
  <c r="FH131" i="2"/>
  <c r="FH138" i="2"/>
  <c r="CW149" i="2"/>
  <c r="CX149" i="2" s="1"/>
  <c r="FI135" i="2"/>
  <c r="FI140" i="2"/>
  <c r="FJ146" i="2"/>
  <c r="CX125" i="2"/>
  <c r="FF125" i="2" s="1"/>
  <c r="CZ139" i="2"/>
  <c r="DA139" i="2" s="1"/>
  <c r="DB139" i="2" s="1"/>
  <c r="CW130" i="2"/>
  <c r="CX130" i="2" s="1"/>
  <c r="FJ147" i="2"/>
  <c r="FB87" i="2"/>
  <c r="FI144" i="2"/>
  <c r="CW129" i="2"/>
  <c r="CX129" i="2" s="1"/>
  <c r="FJ87" i="2"/>
  <c r="CW131" i="2"/>
  <c r="CX131" i="2" s="1"/>
  <c r="FI129" i="2"/>
  <c r="DB129" i="2"/>
  <c r="FG129" i="2" s="1"/>
  <c r="CX134" i="2"/>
  <c r="FF134" i="2" s="1"/>
  <c r="CX26" i="2"/>
  <c r="FF26" i="2" s="1"/>
  <c r="FF71" i="2" s="1"/>
  <c r="FH146" i="2"/>
  <c r="FI146" i="2"/>
  <c r="FI90" i="2"/>
  <c r="FG131" i="2"/>
  <c r="CW112" i="2"/>
  <c r="CV145" i="2"/>
  <c r="CW145" i="2" s="1"/>
  <c r="CX145" i="2" s="1"/>
  <c r="FG130" i="2"/>
  <c r="CW147" i="2"/>
  <c r="CX147" i="2" s="1"/>
  <c r="DB146" i="2"/>
  <c r="FG146" i="2" s="1"/>
  <c r="DK148" i="2"/>
  <c r="FI147" i="2"/>
  <c r="DE135" i="2"/>
  <c r="DF135" i="2" s="1"/>
  <c r="FG122" i="2"/>
  <c r="DN135" i="2"/>
  <c r="FJ135" i="2" s="1"/>
  <c r="FF138" i="2"/>
  <c r="DF145" i="2"/>
  <c r="FH145" i="2" s="1"/>
  <c r="FG144" i="2"/>
  <c r="DB135" i="2"/>
  <c r="FG135" i="2" s="1"/>
  <c r="CX140" i="2"/>
  <c r="CW139" i="2"/>
  <c r="CX139" i="2" s="1"/>
  <c r="DA148" i="2"/>
  <c r="DB145" i="2"/>
  <c r="FG145" i="2" s="1"/>
  <c r="FG141" i="2"/>
  <c r="DF128" i="2"/>
  <c r="FH128" i="2"/>
  <c r="CX144" i="2"/>
  <c r="FF144" i="2" s="1"/>
  <c r="DF129" i="2"/>
  <c r="FH129" i="2" s="1"/>
  <c r="DB138" i="2"/>
  <c r="FH141" i="2"/>
  <c r="DF130" i="2"/>
  <c r="FH130" i="2" s="1"/>
  <c r="DA136" i="2"/>
  <c r="DB132" i="2"/>
  <c r="CX112" i="2"/>
  <c r="FF112" i="2" s="1"/>
  <c r="FF128" i="2"/>
  <c r="FB3" i="2"/>
  <c r="DN24" i="2"/>
  <c r="DR24" i="2" s="1"/>
  <c r="DI112" i="2"/>
  <c r="DD136" i="2"/>
  <c r="DA112" i="2"/>
  <c r="CV142" i="2"/>
  <c r="CW146" i="2"/>
  <c r="CX146" i="2" s="1"/>
  <c r="FI134" i="2"/>
  <c r="FF101" i="2"/>
  <c r="DI133" i="2"/>
  <c r="DJ133" i="2" s="1"/>
  <c r="CZ112" i="2"/>
  <c r="CU112" i="2"/>
  <c r="CU71" i="2"/>
  <c r="FI132" i="2"/>
  <c r="FJ140" i="2"/>
  <c r="CU142" i="2"/>
  <c r="FJ131" i="2"/>
  <c r="FG140" i="2"/>
  <c r="CU148" i="2"/>
  <c r="DE148" i="2"/>
  <c r="CY112" i="2"/>
  <c r="FJ90" i="2"/>
  <c r="FJ26" i="2"/>
  <c r="FJ141" i="2"/>
  <c r="FI131" i="2"/>
  <c r="FJ132" i="2"/>
  <c r="DE134" i="2"/>
  <c r="DF134" i="2" s="1"/>
  <c r="FJ145" i="2"/>
  <c r="FG133" i="2"/>
  <c r="DO99" i="2"/>
  <c r="FH76" i="2"/>
  <c r="CZ148" i="2"/>
  <c r="FI130" i="2"/>
  <c r="FG134" i="2"/>
  <c r="FG147" i="2"/>
  <c r="FH133" i="2"/>
  <c r="FI141" i="2"/>
  <c r="FJ89" i="2"/>
  <c r="CU125" i="2"/>
  <c r="FJ133" i="2"/>
  <c r="DI99" i="2"/>
  <c r="DF144" i="2"/>
  <c r="FH144" i="2" s="1"/>
  <c r="FJ130" i="2"/>
  <c r="FH147" i="2"/>
  <c r="CX99" i="2"/>
  <c r="FF99" i="2" s="1"/>
  <c r="CV136" i="2"/>
  <c r="DB99" i="2"/>
  <c r="FG99" i="2" s="1"/>
  <c r="DA99" i="2"/>
  <c r="CZ136" i="2"/>
  <c r="DJ149" i="2"/>
  <c r="FI149" i="2" s="1"/>
  <c r="DN129" i="2"/>
  <c r="FJ129" i="2" s="1"/>
  <c r="DJ128" i="2"/>
  <c r="FI128" i="2" s="1"/>
  <c r="DJ138" i="2"/>
  <c r="FI138" i="2" s="1"/>
  <c r="DF149" i="2"/>
  <c r="FH149" i="2" s="1"/>
  <c r="DJ112" i="2"/>
  <c r="FI112" i="2" s="1"/>
  <c r="DE132" i="2"/>
  <c r="DH136" i="2"/>
  <c r="DJ125" i="2"/>
  <c r="FI125" i="2" s="1"/>
  <c r="CY142" i="2"/>
  <c r="DD148" i="2"/>
  <c r="DJ99" i="2"/>
  <c r="FI99" i="2" s="1"/>
  <c r="FI89" i="2"/>
  <c r="DK142" i="2"/>
  <c r="DM142" i="2"/>
  <c r="DN138" i="2"/>
  <c r="DN142" i="2" s="1"/>
  <c r="DP136" i="2"/>
  <c r="DM136" i="2"/>
  <c r="DL125" i="2"/>
  <c r="DL136" i="2"/>
  <c r="DN149" i="2"/>
  <c r="FJ149" i="2" s="1"/>
  <c r="DM148" i="2"/>
  <c r="DN144" i="2"/>
  <c r="FJ144" i="2" s="1"/>
  <c r="DP112" i="2"/>
  <c r="DO112" i="2"/>
  <c r="DL142" i="2"/>
  <c r="DO142" i="2"/>
  <c r="DO150" i="2" s="1"/>
  <c r="DP142" i="2"/>
  <c r="DP99" i="2"/>
  <c r="DL148" i="2"/>
  <c r="BN3" i="33"/>
  <c r="BN22" i="33" s="1"/>
  <c r="BN24" i="33" s="1"/>
  <c r="BN25" i="33" s="1"/>
  <c r="BM10" i="33"/>
  <c r="O3" i="33"/>
  <c r="BO3" i="33"/>
  <c r="BO22" i="33" s="1"/>
  <c r="BO24" i="33" s="1"/>
  <c r="BO25" i="33" s="1"/>
  <c r="BS3" i="33"/>
  <c r="BS22" i="33" s="1"/>
  <c r="BS24" i="33" s="1"/>
  <c r="BS25" i="33" s="1"/>
  <c r="BR3" i="33"/>
  <c r="BR22" i="33" s="1"/>
  <c r="BR24" i="33" s="1"/>
  <c r="BR25" i="33" s="1"/>
  <c r="BQ8" i="33"/>
  <c r="BQ3" i="33" s="1"/>
  <c r="BQ22" i="33" s="1"/>
  <c r="BQ24" i="33" s="1"/>
  <c r="BQ25" i="33" s="1"/>
  <c r="G14" i="33"/>
  <c r="G3" i="33" s="1"/>
  <c r="P3" i="33"/>
  <c r="Q3" i="33"/>
  <c r="BP3" i="33"/>
  <c r="BP22" i="33" s="1"/>
  <c r="BP24" i="33" s="1"/>
  <c r="BP25" i="33" s="1"/>
  <c r="AK10" i="33"/>
  <c r="K11" i="33"/>
  <c r="S3" i="33"/>
  <c r="I11" i="33"/>
  <c r="R3" i="33"/>
  <c r="T3" i="33"/>
  <c r="DV96" i="2" l="1"/>
  <c r="DV95" i="2"/>
  <c r="DM73" i="2"/>
  <c r="DQ85" i="2"/>
  <c r="DT5" i="2"/>
  <c r="DS3" i="2"/>
  <c r="DQ150" i="2"/>
  <c r="FJ33" i="2"/>
  <c r="DR33" i="2"/>
  <c r="DV33" i="2" s="1"/>
  <c r="FL33" i="2" s="1"/>
  <c r="FJ24" i="2"/>
  <c r="DV24" i="2"/>
  <c r="FL24" i="2" s="1"/>
  <c r="CY150" i="2"/>
  <c r="FF130" i="2"/>
  <c r="DI136" i="2"/>
  <c r="CX136" i="2"/>
  <c r="FH135" i="2"/>
  <c r="DA142" i="2"/>
  <c r="DA150" i="2" s="1"/>
  <c r="DB142" i="2"/>
  <c r="DF148" i="2"/>
  <c r="DB148" i="2"/>
  <c r="CW142" i="2"/>
  <c r="CZ142" i="2"/>
  <c r="CZ150" i="2" s="1"/>
  <c r="CU150" i="2"/>
  <c r="FF147" i="2"/>
  <c r="CX148" i="2"/>
  <c r="FG138" i="2"/>
  <c r="FF129" i="2"/>
  <c r="CX142" i="2"/>
  <c r="CW148" i="2"/>
  <c r="FF145" i="2"/>
  <c r="FF140" i="2"/>
  <c r="FF149" i="2"/>
  <c r="FG139" i="2"/>
  <c r="FF131" i="2"/>
  <c r="CV148" i="2"/>
  <c r="CV150" i="2" s="1"/>
  <c r="CW136" i="2"/>
  <c r="FF146" i="2"/>
  <c r="DB136" i="2"/>
  <c r="FF139" i="2"/>
  <c r="FF96" i="2"/>
  <c r="FF95" i="2"/>
  <c r="FJ138" i="2"/>
  <c r="FG132" i="2"/>
  <c r="FI133" i="2"/>
  <c r="DF132" i="2"/>
  <c r="DF136" i="2" s="1"/>
  <c r="FH134" i="2"/>
  <c r="DE136" i="2"/>
  <c r="DK150" i="2"/>
  <c r="FJ142" i="2"/>
  <c r="DJ136" i="2"/>
  <c r="FI136" i="2" s="1"/>
  <c r="DL150" i="2"/>
  <c r="DP150" i="2"/>
  <c r="DN148" i="2"/>
  <c r="FJ148" i="2" s="1"/>
  <c r="FJ150" i="2" s="1"/>
  <c r="DM150" i="2"/>
  <c r="BM3" i="33"/>
  <c r="BM22" i="33" s="1"/>
  <c r="BM24" i="33" s="1"/>
  <c r="BM25" i="33" s="1"/>
  <c r="BL10" i="33"/>
  <c r="L10" i="33"/>
  <c r="AK3" i="33"/>
  <c r="DR71" i="2" l="1"/>
  <c r="DU5" i="2"/>
  <c r="DT3" i="2"/>
  <c r="FH132" i="2"/>
  <c r="CX150" i="2"/>
  <c r="CW150" i="2"/>
  <c r="DB150" i="2"/>
  <c r="FG136" i="2"/>
  <c r="FH136" i="2"/>
  <c r="BL3" i="33"/>
  <c r="BL22" i="33" s="1"/>
  <c r="BL24" i="33" s="1"/>
  <c r="BL25" i="33" s="1"/>
  <c r="BK10" i="33"/>
  <c r="DV5" i="2" l="1"/>
  <c r="FL5" i="2" s="1"/>
  <c r="FL3" i="2" s="1"/>
  <c r="DU3" i="2"/>
  <c r="BK3" i="33"/>
  <c r="BK22" i="33" s="1"/>
  <c r="BK24" i="33" s="1"/>
  <c r="BK25" i="33" s="1"/>
  <c r="BJ10" i="33"/>
  <c r="FM5" i="2" l="1"/>
  <c r="FL87" i="2"/>
  <c r="DV3" i="2"/>
  <c r="BJ3" i="33"/>
  <c r="BJ22" i="33" s="1"/>
  <c r="BJ24" i="33" s="1"/>
  <c r="BJ25" i="33" s="1"/>
  <c r="BI10" i="33"/>
  <c r="FN5" i="2" l="1"/>
  <c r="FM87" i="2"/>
  <c r="BI3" i="33"/>
  <c r="BI22" i="33" s="1"/>
  <c r="BI24" i="33" s="1"/>
  <c r="BI25" i="33" s="1"/>
  <c r="BH10" i="33"/>
  <c r="FO5" i="2" l="1"/>
  <c r="FN87" i="2"/>
  <c r="BH3" i="33"/>
  <c r="BH22" i="33" s="1"/>
  <c r="BH24" i="33" s="1"/>
  <c r="BH25" i="33" s="1"/>
  <c r="BG10" i="33"/>
  <c r="FP5" i="2" l="1"/>
  <c r="FO87" i="2"/>
  <c r="BG3" i="33"/>
  <c r="BG22" i="33" s="1"/>
  <c r="BG24" i="33" s="1"/>
  <c r="BG25" i="33" s="1"/>
  <c r="BF10" i="33"/>
  <c r="FQ5" i="2" l="1"/>
  <c r="FP87" i="2"/>
  <c r="BF3" i="33"/>
  <c r="BF22" i="33" s="1"/>
  <c r="BF24" i="33" s="1"/>
  <c r="BF25" i="33" s="1"/>
  <c r="BE10" i="33"/>
  <c r="FQ87" i="2" l="1"/>
  <c r="FR5" i="2"/>
  <c r="BE3" i="33"/>
  <c r="BE22" i="33" s="1"/>
  <c r="BE24" i="33" s="1"/>
  <c r="BE25" i="33" s="1"/>
  <c r="BD10" i="33"/>
  <c r="FR87" i="2" l="1"/>
  <c r="FS5" i="2"/>
  <c r="BD3" i="33"/>
  <c r="BD22" i="33" s="1"/>
  <c r="BD24" i="33" s="1"/>
  <c r="BD25" i="33" s="1"/>
  <c r="BC10" i="33"/>
  <c r="FT5" i="2" l="1"/>
  <c r="FS87" i="2"/>
  <c r="BC3" i="33"/>
  <c r="BC22" i="33" s="1"/>
  <c r="BC24" i="33" s="1"/>
  <c r="BC25" i="33" s="1"/>
  <c r="BB10" i="33"/>
  <c r="FT87" i="2" l="1"/>
  <c r="FU5" i="2"/>
  <c r="BB3" i="33"/>
  <c r="BB22" i="33" s="1"/>
  <c r="BB24" i="33" s="1"/>
  <c r="BB25" i="33" s="1"/>
  <c r="BA10" i="33"/>
  <c r="FU87" i="2" l="1"/>
  <c r="FV5" i="2"/>
  <c r="FV87" i="2" s="1"/>
  <c r="BA3" i="33"/>
  <c r="BA22" i="33" s="1"/>
  <c r="BA24" i="33" s="1"/>
  <c r="BA25" i="33" s="1"/>
  <c r="AZ10" i="33"/>
  <c r="AZ3" i="33" s="1"/>
  <c r="AZ22" i="33" s="1"/>
  <c r="AZ24" i="33" s="1"/>
  <c r="AZ25" i="33" s="1"/>
  <c r="J8" i="33"/>
  <c r="H13" i="33"/>
  <c r="H3" i="33" s="1"/>
  <c r="I8" i="33"/>
  <c r="H8" i="33"/>
  <c r="G8" i="33"/>
  <c r="DN128" i="2"/>
  <c r="FJ128" i="2" s="1"/>
  <c r="DN114" i="2"/>
  <c r="DN107" i="2"/>
  <c r="FJ107" i="2" s="1"/>
  <c r="DN101" i="2"/>
  <c r="FJ101" i="2" s="1"/>
  <c r="DM99" i="2"/>
  <c r="DL99" i="2"/>
  <c r="DJ80" i="2"/>
  <c r="DN80" i="2"/>
  <c r="DJ78" i="2"/>
  <c r="DN78" i="2"/>
  <c r="FK35" i="2"/>
  <c r="FK33" i="2"/>
  <c r="FK32" i="2"/>
  <c r="FK29" i="2"/>
  <c r="FK28" i="2"/>
  <c r="FK27" i="2"/>
  <c r="FK26" i="2"/>
  <c r="FK25" i="2"/>
  <c r="FK24" i="2"/>
  <c r="FK22" i="2"/>
  <c r="FK21" i="2"/>
  <c r="FK17" i="2"/>
  <c r="DJ72" i="2"/>
  <c r="DN72" i="2"/>
  <c r="DR75" i="2"/>
  <c r="DR74" i="2"/>
  <c r="DO76" i="2"/>
  <c r="DL72" i="2"/>
  <c r="DK114" i="2"/>
  <c r="DK125" i="2" s="1"/>
  <c r="DK107" i="2"/>
  <c r="DK101" i="2"/>
  <c r="AL27" i="2"/>
  <c r="AL64" i="2"/>
  <c r="AL21" i="2"/>
  <c r="AL61" i="2"/>
  <c r="AL53" i="2"/>
  <c r="AL63" i="2"/>
  <c r="AL15" i="2"/>
  <c r="AL17" i="2"/>
  <c r="AI71" i="2"/>
  <c r="AJ71" i="2"/>
  <c r="AK71" i="2"/>
  <c r="AM71" i="2"/>
  <c r="AN71" i="2"/>
  <c r="AO71" i="2"/>
  <c r="BV68" i="2"/>
  <c r="BW78" i="2"/>
  <c r="BW68" i="2"/>
  <c r="BX68" i="2"/>
  <c r="BY68" i="2"/>
  <c r="BZ68" i="2"/>
  <c r="CA76" i="2"/>
  <c r="CA68" i="2"/>
  <c r="CE68" i="2"/>
  <c r="CE71" i="2" s="1"/>
  <c r="CB76" i="2"/>
  <c r="CB68" i="2"/>
  <c r="CF68" i="2"/>
  <c r="CF71" i="2" s="1"/>
  <c r="CC76" i="2"/>
  <c r="CC68" i="2"/>
  <c r="CG68" i="2"/>
  <c r="CG71" i="2" s="1"/>
  <c r="CH87" i="2"/>
  <c r="CM91" i="2"/>
  <c r="CL91" i="2"/>
  <c r="CK91" i="2"/>
  <c r="CJ91" i="2"/>
  <c r="CI91" i="2"/>
  <c r="CM87" i="2"/>
  <c r="CL87" i="2"/>
  <c r="CK87" i="2"/>
  <c r="CJ87" i="2"/>
  <c r="CI87" i="2"/>
  <c r="CD68" i="2"/>
  <c r="CD71" i="2" s="1"/>
  <c r="CD76" i="2"/>
  <c r="CH68" i="2"/>
  <c r="CH71" i="2" s="1"/>
  <c r="CE76" i="2"/>
  <c r="CI76" i="2"/>
  <c r="CI68" i="2"/>
  <c r="CI71" i="2" s="1"/>
  <c r="CN91" i="2"/>
  <c r="CN89" i="2"/>
  <c r="CN87" i="2"/>
  <c r="CF76" i="2"/>
  <c r="CJ76" i="2"/>
  <c r="CJ68" i="2"/>
  <c r="CJ71" i="2" s="1"/>
  <c r="CG76" i="2"/>
  <c r="CO91" i="2"/>
  <c r="CO89" i="2"/>
  <c r="CO87" i="2"/>
  <c r="CK76" i="2"/>
  <c r="CK68" i="2"/>
  <c r="CK71" i="2" s="1"/>
  <c r="CH76" i="2"/>
  <c r="CP91" i="2"/>
  <c r="CP89" i="2"/>
  <c r="CP87" i="2"/>
  <c r="CL76" i="2"/>
  <c r="CL68" i="2"/>
  <c r="CL71" i="2" s="1"/>
  <c r="CL73" i="2" s="1"/>
  <c r="CL94" i="2" s="1"/>
  <c r="CU91" i="2"/>
  <c r="CT91" i="2"/>
  <c r="CS91" i="2"/>
  <c r="CR91" i="2"/>
  <c r="CQ91" i="2"/>
  <c r="CU90" i="2"/>
  <c r="CT90" i="2"/>
  <c r="CU89" i="2"/>
  <c r="CT89" i="2"/>
  <c r="CS89" i="2"/>
  <c r="CR89" i="2"/>
  <c r="CQ89" i="2"/>
  <c r="CU87" i="2"/>
  <c r="CT87" i="2"/>
  <c r="CS87" i="2"/>
  <c r="CR87" i="2"/>
  <c r="CQ87" i="2"/>
  <c r="CM76" i="2"/>
  <c r="CQ76" i="2"/>
  <c r="CM68" i="2"/>
  <c r="CM71" i="2" s="1"/>
  <c r="CM95" i="2" s="1"/>
  <c r="CQ71" i="2"/>
  <c r="CQ96" i="2" s="1"/>
  <c r="CN76" i="2"/>
  <c r="CR76" i="2"/>
  <c r="CV91" i="2"/>
  <c r="CV90" i="2"/>
  <c r="CV89" i="2"/>
  <c r="CV87" i="2"/>
  <c r="CR68" i="2"/>
  <c r="CR71" i="2" s="1"/>
  <c r="CR73" i="2" s="1"/>
  <c r="CR94" i="2" s="1"/>
  <c r="CS68" i="2"/>
  <c r="CS71" i="2" s="1"/>
  <c r="CS96" i="2" s="1"/>
  <c r="CN68" i="2"/>
  <c r="CN71" i="2" s="1"/>
  <c r="CW91" i="2"/>
  <c r="CW90" i="2"/>
  <c r="CW89" i="2"/>
  <c r="CW87" i="2"/>
  <c r="CO78" i="2"/>
  <c r="CO76" i="2"/>
  <c r="CS78" i="2"/>
  <c r="CS76" i="2"/>
  <c r="CO68" i="2"/>
  <c r="CO71" i="2" s="1"/>
  <c r="CO96" i="2" s="1"/>
  <c r="CP68" i="2"/>
  <c r="CP71" i="2" s="1"/>
  <c r="CP96" i="2" s="1"/>
  <c r="CP78" i="2"/>
  <c r="CP76" i="2"/>
  <c r="CT78" i="2"/>
  <c r="CT76" i="2"/>
  <c r="CX91" i="2"/>
  <c r="CX90" i="2"/>
  <c r="CX89" i="2"/>
  <c r="CX87" i="2"/>
  <c r="CY71" i="2"/>
  <c r="CX71" i="2"/>
  <c r="CW71" i="2"/>
  <c r="CV71" i="2"/>
  <c r="CT68" i="2"/>
  <c r="CT71" i="2" s="1"/>
  <c r="DK72" i="2"/>
  <c r="DK78" i="2"/>
  <c r="EZ28" i="2"/>
  <c r="FA71" i="2"/>
  <c r="FB28" i="2"/>
  <c r="FB71" i="2" s="1"/>
  <c r="FC71" i="2"/>
  <c r="DH78" i="2"/>
  <c r="DH26" i="2"/>
  <c r="DH122" i="2"/>
  <c r="DH114" i="2"/>
  <c r="DH107" i="2"/>
  <c r="DH101" i="2"/>
  <c r="FD44" i="2"/>
  <c r="FE28" i="2"/>
  <c r="FD28" i="2"/>
  <c r="FE33" i="2"/>
  <c r="FD33" i="2"/>
  <c r="FD26" i="2"/>
  <c r="FD24" i="2"/>
  <c r="FH83" i="2"/>
  <c r="FG75" i="2"/>
  <c r="FG74" i="2"/>
  <c r="FG72" i="2"/>
  <c r="FG45" i="2"/>
  <c r="FG44" i="2"/>
  <c r="FG43" i="2"/>
  <c r="FG42" i="2"/>
  <c r="FG41" i="2"/>
  <c r="FG35" i="2"/>
  <c r="FG34" i="2"/>
  <c r="FG33" i="2"/>
  <c r="FG32" i="2"/>
  <c r="FG30" i="2"/>
  <c r="FG28" i="2"/>
  <c r="FG27" i="2"/>
  <c r="FG26" i="2"/>
  <c r="FG24" i="2"/>
  <c r="FG23" i="2"/>
  <c r="FG22" i="2"/>
  <c r="FG20" i="2"/>
  <c r="FG19" i="2"/>
  <c r="FG17" i="2"/>
  <c r="FG16" i="2"/>
  <c r="FG14" i="2"/>
  <c r="FG12" i="2"/>
  <c r="FG11" i="2"/>
  <c r="FG15" i="2"/>
  <c r="FG10" i="2"/>
  <c r="FG5" i="2"/>
  <c r="DM83" i="2"/>
  <c r="DM154" i="2" s="1"/>
  <c r="DM75" i="2"/>
  <c r="DM74" i="2"/>
  <c r="FJ74" i="2" s="1"/>
  <c r="DH76" i="2"/>
  <c r="DH35" i="2"/>
  <c r="DA71" i="2"/>
  <c r="CZ71" i="2"/>
  <c r="FJ83" i="2" l="1"/>
  <c r="FG90" i="2"/>
  <c r="FH90" i="2"/>
  <c r="FJ78" i="2"/>
  <c r="FG3" i="2"/>
  <c r="FG87" i="2"/>
  <c r="FG89" i="2"/>
  <c r="FH89" i="2"/>
  <c r="DN125" i="2"/>
  <c r="FJ125" i="2" s="1"/>
  <c r="FJ114" i="2"/>
  <c r="DN136" i="2"/>
  <c r="DJ35" i="2"/>
  <c r="FI35" i="2" s="1"/>
  <c r="DH24" i="2"/>
  <c r="FJ75" i="2"/>
  <c r="DP3" i="2"/>
  <c r="FI78" i="2"/>
  <c r="DK112" i="2"/>
  <c r="DN112" i="2"/>
  <c r="FJ112" i="2" s="1"/>
  <c r="DR76" i="2"/>
  <c r="FK23" i="2"/>
  <c r="FK20" i="2"/>
  <c r="DP76" i="2"/>
  <c r="FI74" i="2"/>
  <c r="FK19" i="2"/>
  <c r="FI75" i="2"/>
  <c r="DN99" i="2"/>
  <c r="FJ99" i="2" s="1"/>
  <c r="FK30" i="2"/>
  <c r="DQ88" i="2"/>
  <c r="DH99" i="2"/>
  <c r="DK99" i="2"/>
  <c r="AL71" i="2"/>
  <c r="CY85" i="2"/>
  <c r="CL85" i="2"/>
  <c r="CL95" i="2"/>
  <c r="CL96" i="2"/>
  <c r="CM96" i="2"/>
  <c r="DM76" i="2"/>
  <c r="CJ95" i="2"/>
  <c r="CJ73" i="2"/>
  <c r="CJ77" i="2" s="1"/>
  <c r="CJ79" i="2" s="1"/>
  <c r="CJ81" i="2" s="1"/>
  <c r="CJ82" i="2" s="1"/>
  <c r="CJ96" i="2"/>
  <c r="CN85" i="2"/>
  <c r="CM85" i="2"/>
  <c r="CI96" i="2"/>
  <c r="CI73" i="2"/>
  <c r="CI94" i="2" s="1"/>
  <c r="CI95" i="2"/>
  <c r="CJ85" i="2"/>
  <c r="CV85" i="2"/>
  <c r="CT85" i="2"/>
  <c r="CP85" i="2"/>
  <c r="CP95" i="2"/>
  <c r="CK85" i="2"/>
  <c r="DH125" i="2"/>
  <c r="CI85" i="2"/>
  <c r="CE95" i="2"/>
  <c r="CE73" i="2"/>
  <c r="CE94" i="2" s="1"/>
  <c r="CE96" i="2"/>
  <c r="CF96" i="2"/>
  <c r="CU85" i="2"/>
  <c r="CH85" i="2"/>
  <c r="CD95" i="2"/>
  <c r="CD96" i="2"/>
  <c r="CG96" i="2"/>
  <c r="CG73" i="2"/>
  <c r="CG94" i="2" s="1"/>
  <c r="CF73" i="2"/>
  <c r="CF94" i="2" s="1"/>
  <c r="CF95" i="2"/>
  <c r="CO85" i="2"/>
  <c r="CK96" i="2"/>
  <c r="CK95" i="2"/>
  <c r="CK73" i="2"/>
  <c r="CK94" i="2" s="1"/>
  <c r="CG95" i="2"/>
  <c r="CH73" i="2"/>
  <c r="CH94" i="2" s="1"/>
  <c r="CH96" i="2"/>
  <c r="CH95" i="2"/>
  <c r="CL77" i="2"/>
  <c r="CL79" i="2" s="1"/>
  <c r="CQ73" i="2"/>
  <c r="CM73" i="2"/>
  <c r="CM94" i="2" s="1"/>
  <c r="CS95" i="2"/>
  <c r="CQ85" i="2"/>
  <c r="CR96" i="2"/>
  <c r="CQ95" i="2"/>
  <c r="DN76" i="2"/>
  <c r="CR85" i="2"/>
  <c r="CR95" i="2"/>
  <c r="CW85" i="2"/>
  <c r="CS85" i="2"/>
  <c r="CN95" i="2"/>
  <c r="CN73" i="2"/>
  <c r="CN94" i="2" s="1"/>
  <c r="CN96" i="2"/>
  <c r="CR77" i="2"/>
  <c r="CR79" i="2" s="1"/>
  <c r="CT95" i="2"/>
  <c r="CT73" i="2"/>
  <c r="CX85" i="2"/>
  <c r="CT96" i="2"/>
  <c r="CS73" i="2"/>
  <c r="CO73" i="2"/>
  <c r="CO94" i="2" s="1"/>
  <c r="CO95" i="2"/>
  <c r="CP73" i="2"/>
  <c r="CP94" i="2" s="1"/>
  <c r="DH112" i="2"/>
  <c r="FE71" i="2"/>
  <c r="FM27" i="2"/>
  <c r="FN27" i="2" s="1"/>
  <c r="FO27" i="2" s="1"/>
  <c r="FP27" i="2" s="1"/>
  <c r="FQ27" i="2" s="1"/>
  <c r="FR27" i="2" s="1"/>
  <c r="FS27" i="2" s="1"/>
  <c r="FT27" i="2" s="1"/>
  <c r="FU27" i="2" s="1"/>
  <c r="FV27" i="2" s="1"/>
  <c r="DL76" i="2"/>
  <c r="FI83" i="2"/>
  <c r="FG76" i="2"/>
  <c r="FM25" i="2"/>
  <c r="FN25" i="2" s="1"/>
  <c r="FO25" i="2" s="1"/>
  <c r="FP25" i="2" s="1"/>
  <c r="FQ25" i="2" s="1"/>
  <c r="FR25" i="2" s="1"/>
  <c r="FS25" i="2" s="1"/>
  <c r="FT25" i="2" s="1"/>
  <c r="FU25" i="2" s="1"/>
  <c r="FV25" i="2" s="1"/>
  <c r="DK76" i="2"/>
  <c r="FM28" i="2"/>
  <c r="FN28" i="2" s="1"/>
  <c r="FO28" i="2" s="1"/>
  <c r="FP28" i="2" s="1"/>
  <c r="FQ28" i="2" s="1"/>
  <c r="FR28" i="2" s="1"/>
  <c r="FS28" i="2" s="1"/>
  <c r="FT28" i="2" s="1"/>
  <c r="FU28" i="2" s="1"/>
  <c r="FV28" i="2" s="1"/>
  <c r="DI76" i="2"/>
  <c r="FM24" i="2"/>
  <c r="FN24" i="2" s="1"/>
  <c r="FO24" i="2" s="1"/>
  <c r="FP24" i="2" s="1"/>
  <c r="FQ24" i="2" s="1"/>
  <c r="FR24" i="2" s="1"/>
  <c r="FS24" i="2" s="1"/>
  <c r="FT24" i="2" s="1"/>
  <c r="FU24" i="2" s="1"/>
  <c r="FV24" i="2" s="1"/>
  <c r="DJ76" i="2"/>
  <c r="DE71" i="2"/>
  <c r="DD71" i="2"/>
  <c r="DB31" i="2"/>
  <c r="FG31" i="2" s="1"/>
  <c r="DB29" i="2"/>
  <c r="FG29" i="2" s="1"/>
  <c r="DB25" i="2"/>
  <c r="FG25" i="2" s="1"/>
  <c r="DB21" i="2"/>
  <c r="DC148" i="2"/>
  <c r="DC140" i="2"/>
  <c r="DC139" i="2"/>
  <c r="DC136" i="2"/>
  <c r="DC122" i="2"/>
  <c r="DC114" i="2"/>
  <c r="DC107" i="2"/>
  <c r="DC101" i="2"/>
  <c r="DD122" i="2"/>
  <c r="DD114" i="2"/>
  <c r="DD107" i="2"/>
  <c r="DD101" i="2"/>
  <c r="DE122" i="2"/>
  <c r="DE114" i="2"/>
  <c r="DE107" i="2"/>
  <c r="DE101" i="2"/>
  <c r="DG26" i="2"/>
  <c r="DJ26" i="2" s="1"/>
  <c r="DF41" i="2"/>
  <c r="FH41" i="2" s="1"/>
  <c r="DF122" i="2"/>
  <c r="FH122" i="2" s="1"/>
  <c r="DF114" i="2"/>
  <c r="FH114" i="2" s="1"/>
  <c r="DF107" i="2"/>
  <c r="FH107" i="2" s="1"/>
  <c r="DF101" i="2"/>
  <c r="FH101" i="2" s="1"/>
  <c r="DF31" i="2"/>
  <c r="FH31" i="2" s="1"/>
  <c r="DF29" i="2"/>
  <c r="FH29" i="2" s="1"/>
  <c r="DF25" i="2"/>
  <c r="FH25" i="2" s="1"/>
  <c r="DF21" i="2"/>
  <c r="FH21" i="2" s="1"/>
  <c r="FH5" i="2"/>
  <c r="DN91" i="2"/>
  <c r="DI91" i="2"/>
  <c r="DK91" i="2"/>
  <c r="DN90" i="2"/>
  <c r="DM90" i="2"/>
  <c r="DG91" i="2"/>
  <c r="DF91" i="2"/>
  <c r="DE91" i="2"/>
  <c r="DD91" i="2"/>
  <c r="DC91" i="2"/>
  <c r="DB91" i="2"/>
  <c r="DA91" i="2"/>
  <c r="CZ91" i="2"/>
  <c r="CY91" i="2"/>
  <c r="DG90" i="2"/>
  <c r="DF90" i="2"/>
  <c r="DE90" i="2"/>
  <c r="DD90" i="2"/>
  <c r="DC90" i="2"/>
  <c r="DB90" i="2"/>
  <c r="DA90" i="2"/>
  <c r="CZ90" i="2"/>
  <c r="CY90" i="2"/>
  <c r="DN89" i="2"/>
  <c r="DM89" i="2"/>
  <c r="DF89" i="2"/>
  <c r="DE89" i="2"/>
  <c r="DD89" i="2"/>
  <c r="DC89" i="2"/>
  <c r="DB89" i="2"/>
  <c r="DA89" i="2"/>
  <c r="CZ89" i="2"/>
  <c r="CY89" i="2"/>
  <c r="DG89" i="2"/>
  <c r="DT15" i="2" l="1"/>
  <c r="DU15" i="2" s="1"/>
  <c r="DV15" i="2" s="1"/>
  <c r="DQ154" i="2"/>
  <c r="DQ76" i="2"/>
  <c r="CN77" i="2"/>
  <c r="CN79" i="2" s="1"/>
  <c r="CN81" i="2" s="1"/>
  <c r="CN82" i="2" s="1"/>
  <c r="CN92" i="2" s="1"/>
  <c r="DD140" i="2"/>
  <c r="DE140" i="2" s="1"/>
  <c r="DF140" i="2" s="1"/>
  <c r="FH140" i="2" s="1"/>
  <c r="FE73" i="2"/>
  <c r="FF73" i="2"/>
  <c r="FF94" i="2" s="1"/>
  <c r="FF85" i="2"/>
  <c r="FJ76" i="2"/>
  <c r="DJ24" i="2"/>
  <c r="FI24" i="2" s="1"/>
  <c r="DN150" i="2"/>
  <c r="FJ136" i="2"/>
  <c r="FH3" i="2"/>
  <c r="FH87" i="2"/>
  <c r="FI87" i="2"/>
  <c r="DC142" i="2"/>
  <c r="DC150" i="2" s="1"/>
  <c r="DD139" i="2"/>
  <c r="FK74" i="2"/>
  <c r="FK76" i="2" s="1"/>
  <c r="FI26" i="2"/>
  <c r="DL71" i="2"/>
  <c r="DQ3" i="2"/>
  <c r="DR3" i="2"/>
  <c r="CP77" i="2"/>
  <c r="CP79" i="2" s="1"/>
  <c r="CP97" i="2" s="1"/>
  <c r="FL83" i="2"/>
  <c r="FM83" i="2" s="1"/>
  <c r="FN83" i="2" s="1"/>
  <c r="FO83" i="2" s="1"/>
  <c r="FP83" i="2" s="1"/>
  <c r="FQ83" i="2" s="1"/>
  <c r="FR83" i="2" s="1"/>
  <c r="FS83" i="2" s="1"/>
  <c r="FT83" i="2" s="1"/>
  <c r="FU83" i="2" s="1"/>
  <c r="FV83" i="2" s="1"/>
  <c r="FI76" i="2"/>
  <c r="FK34" i="2"/>
  <c r="FM7" i="2"/>
  <c r="FN7" i="2" s="1"/>
  <c r="FO7" i="2" s="1"/>
  <c r="FP7" i="2" s="1"/>
  <c r="FQ7" i="2" s="1"/>
  <c r="FR7" i="2" s="1"/>
  <c r="FS7" i="2" s="1"/>
  <c r="FT7" i="2" s="1"/>
  <c r="FU7" i="2" s="1"/>
  <c r="FV7" i="2" s="1"/>
  <c r="FK16" i="2"/>
  <c r="DQ87" i="2"/>
  <c r="DR90" i="2"/>
  <c r="DQ90" i="2"/>
  <c r="FK15" i="2"/>
  <c r="CJ97" i="2"/>
  <c r="CJ94" i="2"/>
  <c r="CM77" i="2"/>
  <c r="CM79" i="2" s="1"/>
  <c r="CM97" i="2" s="1"/>
  <c r="CI77" i="2"/>
  <c r="CI79" i="2" s="1"/>
  <c r="CI97" i="2" s="1"/>
  <c r="CE77" i="2"/>
  <c r="CE79" i="2" s="1"/>
  <c r="CE81" i="2" s="1"/>
  <c r="CE82" i="2" s="1"/>
  <c r="DD125" i="2"/>
  <c r="CL81" i="2"/>
  <c r="CL82" i="2" s="1"/>
  <c r="CL97" i="2"/>
  <c r="CK77" i="2"/>
  <c r="CK79" i="2" s="1"/>
  <c r="CK81" i="2" s="1"/>
  <c r="CK82" i="2" s="1"/>
  <c r="CG77" i="2"/>
  <c r="CG79" i="2" s="1"/>
  <c r="CG81" i="2" s="1"/>
  <c r="CG82" i="2" s="1"/>
  <c r="CF77" i="2"/>
  <c r="CF79" i="2" s="1"/>
  <c r="CF81" i="2" s="1"/>
  <c r="CF82" i="2" s="1"/>
  <c r="CJ92" i="2" s="1"/>
  <c r="CH77" i="2"/>
  <c r="CH79" i="2" s="1"/>
  <c r="CH97" i="2" s="1"/>
  <c r="CS77" i="2"/>
  <c r="CS79" i="2" s="1"/>
  <c r="CS94" i="2"/>
  <c r="CR81" i="2"/>
  <c r="CR82" i="2" s="1"/>
  <c r="CR97" i="2"/>
  <c r="CQ77" i="2"/>
  <c r="CQ79" i="2" s="1"/>
  <c r="CQ94" i="2"/>
  <c r="CO77" i="2"/>
  <c r="CO79" i="2" s="1"/>
  <c r="CO81" i="2" s="1"/>
  <c r="CO82" i="2" s="1"/>
  <c r="CT77" i="2"/>
  <c r="CT79" i="2" s="1"/>
  <c r="CT94" i="2"/>
  <c r="FM32" i="2"/>
  <c r="FN32" i="2" s="1"/>
  <c r="FO32" i="2" s="1"/>
  <c r="FP32" i="2" s="1"/>
  <c r="FQ32" i="2" s="1"/>
  <c r="FR32" i="2" s="1"/>
  <c r="FS32" i="2" s="1"/>
  <c r="FT32" i="2" s="1"/>
  <c r="FU32" i="2" s="1"/>
  <c r="FV32" i="2" s="1"/>
  <c r="FM29" i="2"/>
  <c r="FN29" i="2" s="1"/>
  <c r="FO29" i="2" s="1"/>
  <c r="FP29" i="2" s="1"/>
  <c r="FQ29" i="2" s="1"/>
  <c r="FR29" i="2" s="1"/>
  <c r="FS29" i="2" s="1"/>
  <c r="FT29" i="2" s="1"/>
  <c r="FU29" i="2" s="1"/>
  <c r="FV29" i="2" s="1"/>
  <c r="FM23" i="2"/>
  <c r="FN23" i="2" s="1"/>
  <c r="FO23" i="2" s="1"/>
  <c r="FP23" i="2" s="1"/>
  <c r="FQ23" i="2" s="1"/>
  <c r="FR23" i="2" s="1"/>
  <c r="FS23" i="2" s="1"/>
  <c r="FT23" i="2" s="1"/>
  <c r="FU23" i="2" s="1"/>
  <c r="FV23" i="2" s="1"/>
  <c r="DF71" i="2"/>
  <c r="DL89" i="2"/>
  <c r="DK89" i="2"/>
  <c r="DH90" i="2"/>
  <c r="DL91" i="2"/>
  <c r="DE99" i="2"/>
  <c r="DB71" i="2"/>
  <c r="FG21" i="2"/>
  <c r="DK90" i="2"/>
  <c r="FM19" i="2"/>
  <c r="FN19" i="2" s="1"/>
  <c r="FO19" i="2" s="1"/>
  <c r="FP19" i="2" s="1"/>
  <c r="FQ19" i="2" s="1"/>
  <c r="FR19" i="2" s="1"/>
  <c r="FS19" i="2" s="1"/>
  <c r="FT19" i="2" s="1"/>
  <c r="FU19" i="2" s="1"/>
  <c r="FV19" i="2" s="1"/>
  <c r="DD99" i="2"/>
  <c r="FM20" i="2"/>
  <c r="FN20" i="2" s="1"/>
  <c r="FO20" i="2" s="1"/>
  <c r="FP20" i="2" s="1"/>
  <c r="FQ20" i="2" s="1"/>
  <c r="FR20" i="2" s="1"/>
  <c r="FS20" i="2" s="1"/>
  <c r="FT20" i="2" s="1"/>
  <c r="FU20" i="2" s="1"/>
  <c r="FV20" i="2" s="1"/>
  <c r="FM22" i="2"/>
  <c r="FN22" i="2" s="1"/>
  <c r="FO22" i="2" s="1"/>
  <c r="FP22" i="2" s="1"/>
  <c r="FQ22" i="2" s="1"/>
  <c r="FR22" i="2" s="1"/>
  <c r="FS22" i="2" s="1"/>
  <c r="FT22" i="2" s="1"/>
  <c r="FU22" i="2" s="1"/>
  <c r="FV22" i="2" s="1"/>
  <c r="DF99" i="2"/>
  <c r="FH99" i="2" s="1"/>
  <c r="DJ91" i="2"/>
  <c r="DF112" i="2"/>
  <c r="FH112" i="2" s="1"/>
  <c r="DF125" i="2"/>
  <c r="FH125" i="2" s="1"/>
  <c r="DE112" i="2"/>
  <c r="DJ90" i="2"/>
  <c r="DD112" i="2"/>
  <c r="DH91" i="2"/>
  <c r="DM91" i="2"/>
  <c r="DE125" i="2"/>
  <c r="DI89" i="2"/>
  <c r="DI90" i="2"/>
  <c r="DC125" i="2"/>
  <c r="DC99" i="2"/>
  <c r="DC112" i="2"/>
  <c r="DL90" i="2"/>
  <c r="DH89" i="2"/>
  <c r="DJ89" i="2"/>
  <c r="FL15" i="2" l="1"/>
  <c r="CN97" i="2"/>
  <c r="FK12" i="2"/>
  <c r="DE139" i="2"/>
  <c r="DD142" i="2"/>
  <c r="DD150" i="2" s="1"/>
  <c r="CM81" i="2"/>
  <c r="CM82" i="2" s="1"/>
  <c r="FJ31" i="2"/>
  <c r="FJ71" i="2" s="1"/>
  <c r="CH81" i="2"/>
  <c r="CH82" i="2" s="1"/>
  <c r="CL92" i="2" s="1"/>
  <c r="CP81" i="2"/>
  <c r="CP82" i="2" s="1"/>
  <c r="CP92" i="2" s="1"/>
  <c r="FM6" i="2"/>
  <c r="FM3" i="2" s="1"/>
  <c r="DR88" i="2"/>
  <c r="FM34" i="2"/>
  <c r="FN34" i="2" s="1"/>
  <c r="FO34" i="2" s="1"/>
  <c r="FP34" i="2" s="1"/>
  <c r="FQ34" i="2" s="1"/>
  <c r="FR34" i="2" s="1"/>
  <c r="FS34" i="2" s="1"/>
  <c r="FT34" i="2" s="1"/>
  <c r="FU34" i="2" s="1"/>
  <c r="FV34" i="2" s="1"/>
  <c r="DQ91" i="2"/>
  <c r="CE97" i="2"/>
  <c r="DR87" i="2"/>
  <c r="CI81" i="2"/>
  <c r="CI82" i="2" s="1"/>
  <c r="FK11" i="2"/>
  <c r="DQ89" i="2"/>
  <c r="CO97" i="2"/>
  <c r="CG97" i="2"/>
  <c r="CK97" i="2"/>
  <c r="CF97" i="2"/>
  <c r="CK92" i="2"/>
  <c r="CO92" i="2"/>
  <c r="FM30" i="2"/>
  <c r="FN30" i="2" s="1"/>
  <c r="FO30" i="2" s="1"/>
  <c r="FP30" i="2" s="1"/>
  <c r="FQ30" i="2" s="1"/>
  <c r="FR30" i="2" s="1"/>
  <c r="FS30" i="2" s="1"/>
  <c r="FT30" i="2" s="1"/>
  <c r="FU30" i="2" s="1"/>
  <c r="FV30" i="2" s="1"/>
  <c r="CQ81" i="2"/>
  <c r="CQ82" i="2" s="1"/>
  <c r="CQ97" i="2"/>
  <c r="CR92" i="2"/>
  <c r="CS81" i="2"/>
  <c r="CS82" i="2" s="1"/>
  <c r="CS92" i="2" s="1"/>
  <c r="CS97" i="2"/>
  <c r="CT81" i="2"/>
  <c r="CT82" i="2" s="1"/>
  <c r="CT97" i="2"/>
  <c r="FM33" i="2"/>
  <c r="FN33" i="2" s="1"/>
  <c r="FO33" i="2" s="1"/>
  <c r="FP33" i="2" s="1"/>
  <c r="FQ33" i="2" s="1"/>
  <c r="FR33" i="2" s="1"/>
  <c r="FS33" i="2" s="1"/>
  <c r="FT33" i="2" s="1"/>
  <c r="FU33" i="2" s="1"/>
  <c r="FV33" i="2" s="1"/>
  <c r="FG71" i="2"/>
  <c r="FM26" i="2"/>
  <c r="FN26" i="2" s="1"/>
  <c r="FO26" i="2" s="1"/>
  <c r="FP26" i="2" s="1"/>
  <c r="FQ26" i="2" s="1"/>
  <c r="FR26" i="2" s="1"/>
  <c r="FS26" i="2" s="1"/>
  <c r="FT26" i="2" s="1"/>
  <c r="FU26" i="2" s="1"/>
  <c r="FV26" i="2" s="1"/>
  <c r="FI3" i="2"/>
  <c r="DG145" i="2"/>
  <c r="DG139" i="2"/>
  <c r="DG136" i="2"/>
  <c r="FF136" i="2" s="1"/>
  <c r="DG122" i="2"/>
  <c r="DG114" i="2"/>
  <c r="DG107" i="2"/>
  <c r="DG101" i="2"/>
  <c r="DF87" i="2"/>
  <c r="DE87" i="2"/>
  <c r="DD87" i="2"/>
  <c r="DC87" i="2"/>
  <c r="DB87" i="2"/>
  <c r="DA87" i="2"/>
  <c r="CZ87" i="2"/>
  <c r="CY87" i="2"/>
  <c r="DG87" i="2"/>
  <c r="CU76" i="2"/>
  <c r="CV76" i="2"/>
  <c r="CW76" i="2"/>
  <c r="CX76" i="2"/>
  <c r="CY76" i="2"/>
  <c r="FM12" i="2" l="1"/>
  <c r="FK90" i="2"/>
  <c r="FL90" i="2"/>
  <c r="FK89" i="2"/>
  <c r="FL89" i="2"/>
  <c r="FN6" i="2"/>
  <c r="FN3" i="2" s="1"/>
  <c r="FM88" i="2"/>
  <c r="DT14" i="2"/>
  <c r="CM92" i="2"/>
  <c r="CT92" i="2"/>
  <c r="CQ92" i="2"/>
  <c r="FJ96" i="2"/>
  <c r="FG73" i="2"/>
  <c r="FG77" i="2" s="1"/>
  <c r="FG96" i="2"/>
  <c r="FG85" i="2"/>
  <c r="DG142" i="2"/>
  <c r="DH139" i="2"/>
  <c r="DG148" i="2"/>
  <c r="DH145" i="2"/>
  <c r="DF139" i="2"/>
  <c r="FH139" i="2" s="1"/>
  <c r="DE142" i="2"/>
  <c r="DE150" i="2" s="1"/>
  <c r="DQ77" i="2"/>
  <c r="DQ79" i="2" s="1"/>
  <c r="DQ94" i="2"/>
  <c r="DQ96" i="2"/>
  <c r="DQ95" i="2"/>
  <c r="DR91" i="2"/>
  <c r="FK14" i="2"/>
  <c r="CI92" i="2"/>
  <c r="DR89" i="2"/>
  <c r="FM11" i="2"/>
  <c r="DG99" i="2"/>
  <c r="FM16" i="2"/>
  <c r="FN16" i="2" s="1"/>
  <c r="FO16" i="2" s="1"/>
  <c r="FP16" i="2" s="1"/>
  <c r="FQ16" i="2" s="1"/>
  <c r="FR16" i="2" s="1"/>
  <c r="FS16" i="2" s="1"/>
  <c r="FT16" i="2" s="1"/>
  <c r="FU16" i="2" s="1"/>
  <c r="FV16" i="2" s="1"/>
  <c r="DH71" i="2"/>
  <c r="DH73" i="2" s="1"/>
  <c r="DG112" i="2"/>
  <c r="DJ71" i="2"/>
  <c r="DJ73" i="2" s="1"/>
  <c r="DI71" i="2"/>
  <c r="DI73" i="2" s="1"/>
  <c r="DI77" i="2" s="1"/>
  <c r="DK87" i="2"/>
  <c r="DI87" i="2"/>
  <c r="DH87" i="2"/>
  <c r="DJ87" i="2"/>
  <c r="DG125" i="2"/>
  <c r="CZ76" i="2"/>
  <c r="DD76" i="2"/>
  <c r="DE95" i="2"/>
  <c r="DD95" i="2"/>
  <c r="CD73" i="2"/>
  <c r="CC71" i="2"/>
  <c r="CB71" i="2"/>
  <c r="CA71" i="2"/>
  <c r="BO70" i="2"/>
  <c r="BO71" i="2" s="1"/>
  <c r="BJ70" i="2"/>
  <c r="BJ71" i="2" s="1"/>
  <c r="BK70" i="2"/>
  <c r="BK71" i="2" s="1"/>
  <c r="BF70" i="2"/>
  <c r="BF71" i="2" s="1"/>
  <c r="DA76" i="2"/>
  <c r="DE76" i="2"/>
  <c r="DB76" i="2"/>
  <c r="DF76" i="2"/>
  <c r="DC76" i="2"/>
  <c r="DG76" i="2"/>
  <c r="DF95" i="2"/>
  <c r="DC15" i="2"/>
  <c r="FH15" i="2" s="1"/>
  <c r="DG15" i="2"/>
  <c r="FI15" i="2" s="1"/>
  <c r="DC17" i="2"/>
  <c r="FH17" i="2" s="1"/>
  <c r="DG17" i="2"/>
  <c r="FI17" i="2" s="1"/>
  <c r="DS77" i="2" l="1"/>
  <c r="DS79" i="2" s="1"/>
  <c r="FN11" i="2"/>
  <c r="FM89" i="2"/>
  <c r="FN12" i="2"/>
  <c r="FM90" i="2"/>
  <c r="FO6" i="2"/>
  <c r="FO3" i="2" s="1"/>
  <c r="FN88" i="2"/>
  <c r="DU14" i="2"/>
  <c r="DG150" i="2"/>
  <c r="FG94" i="2"/>
  <c r="FH71" i="2"/>
  <c r="DI139" i="2"/>
  <c r="DH142" i="2"/>
  <c r="DF142" i="2"/>
  <c r="DH148" i="2"/>
  <c r="DI145" i="2"/>
  <c r="FK31" i="2"/>
  <c r="DN71" i="2"/>
  <c r="DN73" i="2" s="1"/>
  <c r="DQ97" i="2"/>
  <c r="DR73" i="2"/>
  <c r="DR77" i="2" s="1"/>
  <c r="DR79" i="2" s="1"/>
  <c r="DR96" i="2"/>
  <c r="DR95" i="2"/>
  <c r="CB96" i="2"/>
  <c r="CB73" i="2"/>
  <c r="CB95" i="2"/>
  <c r="CF85" i="2"/>
  <c r="CC96" i="2"/>
  <c r="CC95" i="2"/>
  <c r="CC73" i="2"/>
  <c r="CG85" i="2"/>
  <c r="CA95" i="2"/>
  <c r="CA73" i="2"/>
  <c r="CA96" i="2"/>
  <c r="CE85" i="2"/>
  <c r="CD77" i="2"/>
  <c r="CD79" i="2" s="1"/>
  <c r="CD94" i="2"/>
  <c r="FJ3" i="2"/>
  <c r="FM21" i="2"/>
  <c r="FN21" i="2" s="1"/>
  <c r="FO21" i="2" s="1"/>
  <c r="FP21" i="2" s="1"/>
  <c r="FQ21" i="2" s="1"/>
  <c r="FR21" i="2" s="1"/>
  <c r="FS21" i="2" s="1"/>
  <c r="FT21" i="2" s="1"/>
  <c r="FU21" i="2" s="1"/>
  <c r="FV21" i="2" s="1"/>
  <c r="FM17" i="2"/>
  <c r="FI71" i="2"/>
  <c r="FJ85" i="2" s="1"/>
  <c r="FI72" i="2"/>
  <c r="DI96" i="2"/>
  <c r="DI95" i="2"/>
  <c r="DH96" i="2"/>
  <c r="DH95" i="2"/>
  <c r="DC71" i="2"/>
  <c r="DJ96" i="2"/>
  <c r="DJ95" i="2"/>
  <c r="DN87" i="2"/>
  <c r="DL87" i="2"/>
  <c r="DJ85" i="2"/>
  <c r="DH85" i="2"/>
  <c r="DI85" i="2"/>
  <c r="DM87" i="2"/>
  <c r="DG71" i="2"/>
  <c r="CW96" i="2"/>
  <c r="CW95" i="2"/>
  <c r="CW73" i="2"/>
  <c r="DF96" i="2"/>
  <c r="CZ73" i="2"/>
  <c r="CZ94" i="2" s="1"/>
  <c r="CZ85" i="2"/>
  <c r="CU96" i="2"/>
  <c r="CU73" i="2"/>
  <c r="CU95" i="2"/>
  <c r="CV96" i="2"/>
  <c r="CV95" i="2"/>
  <c r="CV73" i="2"/>
  <c r="DA73" i="2"/>
  <c r="DA77" i="2" s="1"/>
  <c r="DA79" i="2" s="1"/>
  <c r="DA81" i="2" s="1"/>
  <c r="DA85" i="2"/>
  <c r="CZ96" i="2"/>
  <c r="CY95" i="2"/>
  <c r="CY73" i="2"/>
  <c r="CY96" i="2"/>
  <c r="DD85" i="2"/>
  <c r="CZ95" i="2"/>
  <c r="DB85" i="2"/>
  <c r="DE85" i="2"/>
  <c r="DE96" i="2"/>
  <c r="DF85" i="2"/>
  <c r="DB73" i="2"/>
  <c r="DB94" i="2" s="1"/>
  <c r="DA95" i="2"/>
  <c r="CX73" i="2"/>
  <c r="CX96" i="2"/>
  <c r="CX95" i="2"/>
  <c r="DA96" i="2"/>
  <c r="DB96" i="2"/>
  <c r="DD96" i="2"/>
  <c r="DB95" i="2"/>
  <c r="DF73" i="2"/>
  <c r="DF94" i="2" s="1"/>
  <c r="DE73" i="2"/>
  <c r="DE94" i="2" s="1"/>
  <c r="DD73" i="2"/>
  <c r="DD94" i="2" s="1"/>
  <c r="FE2" i="2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EW83" i="2"/>
  <c r="EW80" i="2"/>
  <c r="EW75" i="2"/>
  <c r="EW74" i="2"/>
  <c r="EW72" i="2"/>
  <c r="EX72" i="2"/>
  <c r="EX80" i="2"/>
  <c r="EV80" i="2"/>
  <c r="EU80" i="2"/>
  <c r="EX75" i="2"/>
  <c r="EX74" i="2"/>
  <c r="EY75" i="2"/>
  <c r="BR71" i="2"/>
  <c r="BR96" i="2" s="1"/>
  <c r="EY83" i="2"/>
  <c r="EX25" i="2"/>
  <c r="EW25" i="2"/>
  <c r="EY52" i="2"/>
  <c r="EX50" i="2"/>
  <c r="EX52" i="2"/>
  <c r="EX49" i="2"/>
  <c r="EX48" i="2"/>
  <c r="EX27" i="2"/>
  <c r="EX44" i="2"/>
  <c r="EX16" i="2"/>
  <c r="EX17" i="2"/>
  <c r="EX65" i="2"/>
  <c r="EX21" i="2"/>
  <c r="EX15" i="2"/>
  <c r="EX29" i="2"/>
  <c r="EX31" i="2"/>
  <c r="EY21" i="2"/>
  <c r="BP136" i="2"/>
  <c r="BQ136" i="2" s="1"/>
  <c r="BR136" i="2" s="1"/>
  <c r="BP114" i="2"/>
  <c r="BP125" i="2" s="1"/>
  <c r="BP101" i="2"/>
  <c r="BP76" i="2"/>
  <c r="BP71" i="2"/>
  <c r="BP73" i="2" s="1"/>
  <c r="BQ114" i="2"/>
  <c r="BQ125" i="2" s="1"/>
  <c r="BQ101" i="2"/>
  <c r="BQ112" i="2" s="1"/>
  <c r="BR114" i="2"/>
  <c r="BR125" i="2" s="1"/>
  <c r="BR101" i="2"/>
  <c r="BR112" i="2" s="1"/>
  <c r="BR76" i="2"/>
  <c r="BT71" i="2"/>
  <c r="BT73" i="2" s="1"/>
  <c r="BT94" i="2" s="1"/>
  <c r="BS71" i="2"/>
  <c r="BS95" i="2" s="1"/>
  <c r="BS114" i="2"/>
  <c r="BS125" i="2" s="1"/>
  <c r="BS101" i="2"/>
  <c r="BS112" i="2" s="1"/>
  <c r="BT136" i="2"/>
  <c r="BU136" i="2" s="1"/>
  <c r="BT114" i="2"/>
  <c r="BT125" i="2" s="1"/>
  <c r="BT101" i="2"/>
  <c r="BT112" i="2" s="1"/>
  <c r="BU114" i="2"/>
  <c r="BU125" i="2" s="1"/>
  <c r="BU101" i="2"/>
  <c r="BS78" i="2"/>
  <c r="BS76" i="2"/>
  <c r="BT78" i="2"/>
  <c r="BT76" i="2"/>
  <c r="BQ78" i="2"/>
  <c r="EX78" i="2" s="1"/>
  <c r="BQ76" i="2"/>
  <c r="AZ71" i="2"/>
  <c r="BN71" i="2"/>
  <c r="BU78" i="2"/>
  <c r="BU76" i="2"/>
  <c r="BU28" i="2"/>
  <c r="BU71" i="2" s="1"/>
  <c r="DS81" i="2" l="1"/>
  <c r="DS97" i="2"/>
  <c r="DT85" i="2"/>
  <c r="DT73" i="2"/>
  <c r="FN17" i="2"/>
  <c r="FM18" i="2"/>
  <c r="FO12" i="2"/>
  <c r="FN90" i="2"/>
  <c r="FO11" i="2"/>
  <c r="FN89" i="2"/>
  <c r="FP6" i="2"/>
  <c r="FP3" i="2" s="1"/>
  <c r="FO88" i="2"/>
  <c r="DV14" i="2"/>
  <c r="FM31" i="2"/>
  <c r="FN31" i="2" s="1"/>
  <c r="FO31" i="2" s="1"/>
  <c r="FP31" i="2" s="1"/>
  <c r="FQ31" i="2" s="1"/>
  <c r="FR31" i="2" s="1"/>
  <c r="FS31" i="2" s="1"/>
  <c r="FT31" i="2" s="1"/>
  <c r="FU31" i="2" s="1"/>
  <c r="FV31" i="2" s="1"/>
  <c r="FK71" i="2"/>
  <c r="DR94" i="2"/>
  <c r="DH150" i="2"/>
  <c r="FH85" i="2"/>
  <c r="FI85" i="2"/>
  <c r="DA82" i="2"/>
  <c r="DA127" i="2"/>
  <c r="FF127" i="2" s="1"/>
  <c r="FI96" i="2"/>
  <c r="DF150" i="2"/>
  <c r="DJ139" i="2"/>
  <c r="FI139" i="2" s="1"/>
  <c r="DI142" i="2"/>
  <c r="DJ145" i="2"/>
  <c r="FI145" i="2" s="1"/>
  <c r="DI148" i="2"/>
  <c r="FH96" i="2"/>
  <c r="FH73" i="2"/>
  <c r="FH77" i="2" s="1"/>
  <c r="FH79" i="2" s="1"/>
  <c r="FH97" i="2" s="1"/>
  <c r="DR85" i="2"/>
  <c r="DO95" i="2"/>
  <c r="DO73" i="2"/>
  <c r="DO96" i="2"/>
  <c r="DP73" i="2"/>
  <c r="DP85" i="2"/>
  <c r="DP95" i="2"/>
  <c r="DP96" i="2"/>
  <c r="DR72" i="2"/>
  <c r="FK72" i="2" s="1"/>
  <c r="DQ81" i="2"/>
  <c r="DR80" i="2"/>
  <c r="DR97" i="2" s="1"/>
  <c r="DL73" i="2"/>
  <c r="CB77" i="2"/>
  <c r="CB79" i="2" s="1"/>
  <c r="CB94" i="2"/>
  <c r="CA94" i="2"/>
  <c r="CA77" i="2"/>
  <c r="CA79" i="2" s="1"/>
  <c r="CC77" i="2"/>
  <c r="CC79" i="2" s="1"/>
  <c r="CC94" i="2"/>
  <c r="CD81" i="2"/>
  <c r="CD82" i="2" s="1"/>
  <c r="CH92" i="2" s="1"/>
  <c r="CD97" i="2"/>
  <c r="EY15" i="2"/>
  <c r="FH95" i="2"/>
  <c r="FI95" i="2"/>
  <c r="DN85" i="2"/>
  <c r="DN96" i="2"/>
  <c r="DN95" i="2"/>
  <c r="DL85" i="2"/>
  <c r="DL96" i="2"/>
  <c r="DL95" i="2"/>
  <c r="DJ94" i="2"/>
  <c r="DJ77" i="2"/>
  <c r="DJ79" i="2" s="1"/>
  <c r="FI73" i="2"/>
  <c r="FI77" i="2" s="1"/>
  <c r="DO85" i="2"/>
  <c r="DI94" i="2"/>
  <c r="DI79" i="2"/>
  <c r="DM85" i="2"/>
  <c r="DM96" i="2"/>
  <c r="FJ72" i="2"/>
  <c r="FJ73" i="2" s="1"/>
  <c r="FJ77" i="2" s="1"/>
  <c r="FJ79" i="2" s="1"/>
  <c r="DM95" i="2"/>
  <c r="DH94" i="2"/>
  <c r="DH77" i="2"/>
  <c r="DH79" i="2" s="1"/>
  <c r="DE77" i="2"/>
  <c r="DE79" i="2" s="1"/>
  <c r="DE81" i="2" s="1"/>
  <c r="DD77" i="2"/>
  <c r="DD79" i="2" s="1"/>
  <c r="DD81" i="2" s="1"/>
  <c r="CZ77" i="2"/>
  <c r="CZ79" i="2" s="1"/>
  <c r="CZ97" i="2" s="1"/>
  <c r="DA97" i="2"/>
  <c r="CV94" i="2"/>
  <c r="CV77" i="2"/>
  <c r="CV79" i="2" s="1"/>
  <c r="CU94" i="2"/>
  <c r="CU77" i="2"/>
  <c r="CU79" i="2" s="1"/>
  <c r="CW94" i="2"/>
  <c r="CW77" i="2"/>
  <c r="CW79" i="2" s="1"/>
  <c r="DA94" i="2"/>
  <c r="DF77" i="2"/>
  <c r="DF79" i="2" s="1"/>
  <c r="DF81" i="2" s="1"/>
  <c r="CX94" i="2"/>
  <c r="CX77" i="2"/>
  <c r="CX79" i="2" s="1"/>
  <c r="DB77" i="2"/>
  <c r="DB79" i="2" s="1"/>
  <c r="DG96" i="2"/>
  <c r="DG95" i="2"/>
  <c r="CY94" i="2"/>
  <c r="CY77" i="2"/>
  <c r="CY79" i="2" s="1"/>
  <c r="DC73" i="2"/>
  <c r="DC85" i="2"/>
  <c r="DC95" i="2"/>
  <c r="DC96" i="2"/>
  <c r="DG73" i="2"/>
  <c r="DG85" i="2"/>
  <c r="EW76" i="2"/>
  <c r="BX76" i="2"/>
  <c r="EX76" i="2"/>
  <c r="EY74" i="2"/>
  <c r="EY76" i="2" s="1"/>
  <c r="EY78" i="2"/>
  <c r="EY29" i="2"/>
  <c r="EY25" i="2"/>
  <c r="BT99" i="2"/>
  <c r="BR73" i="2"/>
  <c r="BR77" i="2" s="1"/>
  <c r="BZ71" i="2"/>
  <c r="CD85" i="2" s="1"/>
  <c r="EY65" i="2"/>
  <c r="EY48" i="2"/>
  <c r="BU99" i="2"/>
  <c r="EY31" i="2"/>
  <c r="EY16" i="2"/>
  <c r="EY49" i="2"/>
  <c r="BV76" i="2"/>
  <c r="BW76" i="2"/>
  <c r="EY44" i="2"/>
  <c r="EY28" i="2"/>
  <c r="EY17" i="2"/>
  <c r="BP99" i="2"/>
  <c r="EY27" i="2"/>
  <c r="BV71" i="2"/>
  <c r="EY72" i="2"/>
  <c r="BY76" i="2"/>
  <c r="EY50" i="2"/>
  <c r="BR95" i="2"/>
  <c r="BR85" i="2"/>
  <c r="BP95" i="2"/>
  <c r="BT95" i="2"/>
  <c r="BP94" i="2"/>
  <c r="BP77" i="2"/>
  <c r="BP79" i="2" s="1"/>
  <c r="BU95" i="2"/>
  <c r="BU96" i="2"/>
  <c r="BS96" i="2"/>
  <c r="BR99" i="2"/>
  <c r="BP96" i="2"/>
  <c r="BT96" i="2"/>
  <c r="BU112" i="2"/>
  <c r="BP112" i="2"/>
  <c r="BQ99" i="2"/>
  <c r="BS99" i="2"/>
  <c r="BS73" i="2"/>
  <c r="BS94" i="2" s="1"/>
  <c r="BT77" i="2"/>
  <c r="BT79" i="2" s="1"/>
  <c r="BT97" i="2" s="1"/>
  <c r="BO114" i="2"/>
  <c r="BO125" i="2" s="1"/>
  <c r="BO101" i="2"/>
  <c r="BO112" i="2" s="1"/>
  <c r="BO76" i="2"/>
  <c r="DS82" i="2" l="1"/>
  <c r="DS92" i="2" s="1"/>
  <c r="DS127" i="2"/>
  <c r="DT77" i="2"/>
  <c r="DT79" i="2" s="1"/>
  <c r="DT80" i="2" s="1"/>
  <c r="DT94" i="2"/>
  <c r="DT72" i="2"/>
  <c r="FK85" i="2"/>
  <c r="FL85" i="2"/>
  <c r="DT81" i="2"/>
  <c r="DT82" i="2" s="1"/>
  <c r="DT92" i="2" s="1"/>
  <c r="DT97" i="2"/>
  <c r="DU85" i="2"/>
  <c r="DU73" i="2"/>
  <c r="DV85" i="2"/>
  <c r="DV73" i="2"/>
  <c r="FO17" i="2"/>
  <c r="FN18" i="2"/>
  <c r="FP11" i="2"/>
  <c r="FO89" i="2"/>
  <c r="FP12" i="2"/>
  <c r="FO90" i="2"/>
  <c r="FL14" i="2"/>
  <c r="FQ6" i="2"/>
  <c r="FP88" i="2"/>
  <c r="DQ82" i="2"/>
  <c r="DQ127" i="2"/>
  <c r="FK73" i="2"/>
  <c r="FK77" i="2" s="1"/>
  <c r="FK79" i="2" s="1"/>
  <c r="FK80" i="2" s="1"/>
  <c r="FK81" i="2" s="1"/>
  <c r="FK82" i="2" s="1"/>
  <c r="DI150" i="2"/>
  <c r="DF82" i="2"/>
  <c r="DF127" i="2"/>
  <c r="FH127" i="2" s="1"/>
  <c r="DJ148" i="2"/>
  <c r="DE82" i="2"/>
  <c r="DE92" i="2" s="1"/>
  <c r="DE127" i="2"/>
  <c r="DD82" i="2"/>
  <c r="DD127" i="2"/>
  <c r="DJ142" i="2"/>
  <c r="DP77" i="2"/>
  <c r="DP79" i="2" s="1"/>
  <c r="DP94" i="2"/>
  <c r="DO77" i="2"/>
  <c r="DO79" i="2" s="1"/>
  <c r="DO94" i="2"/>
  <c r="DR81" i="2"/>
  <c r="DK73" i="2"/>
  <c r="CC81" i="2"/>
  <c r="CC82" i="2" s="1"/>
  <c r="CC97" i="2"/>
  <c r="CA81" i="2"/>
  <c r="CA82" i="2" s="1"/>
  <c r="CE92" i="2" s="1"/>
  <c r="CA97" i="2"/>
  <c r="CB81" i="2"/>
  <c r="CB82" i="2" s="1"/>
  <c r="CF92" i="2" s="1"/>
  <c r="CB97" i="2"/>
  <c r="BV73" i="2"/>
  <c r="BV94" i="2" s="1"/>
  <c r="FI79" i="2"/>
  <c r="FI94" i="2"/>
  <c r="FI80" i="2"/>
  <c r="DK95" i="2"/>
  <c r="DK96" i="2"/>
  <c r="DJ97" i="2"/>
  <c r="DE97" i="2"/>
  <c r="DN94" i="2"/>
  <c r="DN77" i="2"/>
  <c r="DN79" i="2" s="1"/>
  <c r="DM94" i="2"/>
  <c r="DM77" i="2"/>
  <c r="DM79" i="2" s="1"/>
  <c r="DL94" i="2"/>
  <c r="DL77" i="2"/>
  <c r="DL79" i="2" s="1"/>
  <c r="DK85" i="2"/>
  <c r="DH97" i="2"/>
  <c r="DF97" i="2"/>
  <c r="CZ81" i="2"/>
  <c r="DD97" i="2"/>
  <c r="CV81" i="2"/>
  <c r="CV97" i="2"/>
  <c r="CW97" i="2"/>
  <c r="CW81" i="2"/>
  <c r="CU81" i="2"/>
  <c r="CU97" i="2"/>
  <c r="DC94" i="2"/>
  <c r="DC77" i="2"/>
  <c r="DC79" i="2" s="1"/>
  <c r="CY97" i="2"/>
  <c r="CY81" i="2"/>
  <c r="DB81" i="2"/>
  <c r="DB97" i="2"/>
  <c r="CX97" i="2"/>
  <c r="CX81" i="2"/>
  <c r="DG77" i="2"/>
  <c r="DG79" i="2" s="1"/>
  <c r="DG94" i="2"/>
  <c r="BW71" i="2"/>
  <c r="BY71" i="2"/>
  <c r="BR94" i="2"/>
  <c r="BZ95" i="2"/>
  <c r="BZ73" i="2"/>
  <c r="BZ94" i="2" s="1"/>
  <c r="BX71" i="2"/>
  <c r="BZ85" i="2"/>
  <c r="BV95" i="2"/>
  <c r="BV96" i="2"/>
  <c r="BV85" i="2"/>
  <c r="BZ76" i="2"/>
  <c r="BZ96" i="2"/>
  <c r="BP81" i="2"/>
  <c r="BP82" i="2" s="1"/>
  <c r="BP97" i="2"/>
  <c r="BS77" i="2"/>
  <c r="BS79" i="2" s="1"/>
  <c r="BS97" i="2" s="1"/>
  <c r="BT81" i="2"/>
  <c r="BT82" i="2" s="1"/>
  <c r="BO99" i="2"/>
  <c r="EW49" i="2"/>
  <c r="EV49" i="2"/>
  <c r="DV77" i="2" l="1"/>
  <c r="DV79" i="2" s="1"/>
  <c r="DV80" i="2" s="1"/>
  <c r="DV94" i="2"/>
  <c r="DV72" i="2"/>
  <c r="DU77" i="2"/>
  <c r="DU79" i="2" s="1"/>
  <c r="DU80" i="2" s="1"/>
  <c r="DU94" i="2"/>
  <c r="DU72" i="2"/>
  <c r="DV81" i="2"/>
  <c r="DV82" i="2" s="1"/>
  <c r="DV97" i="2"/>
  <c r="DU81" i="2"/>
  <c r="DU82" i="2" s="1"/>
  <c r="DU92" i="2" s="1"/>
  <c r="DU97" i="2"/>
  <c r="DR82" i="2"/>
  <c r="DR127" i="2"/>
  <c r="FR6" i="2"/>
  <c r="FQ3" i="2"/>
  <c r="FP17" i="2"/>
  <c r="FO18" i="2"/>
  <c r="FQ12" i="2"/>
  <c r="FP90" i="2"/>
  <c r="FM14" i="2"/>
  <c r="FN14" i="2" s="1"/>
  <c r="FO14" i="2" s="1"/>
  <c r="FP14" i="2" s="1"/>
  <c r="FQ14" i="2" s="1"/>
  <c r="FR14" i="2" s="1"/>
  <c r="FS14" i="2" s="1"/>
  <c r="FT14" i="2" s="1"/>
  <c r="FU14" i="2" s="1"/>
  <c r="FV14" i="2" s="1"/>
  <c r="FQ11" i="2"/>
  <c r="FP89" i="2"/>
  <c r="FQ88" i="2"/>
  <c r="FI142" i="2"/>
  <c r="FF142" i="2"/>
  <c r="FH142" i="2"/>
  <c r="FI148" i="2"/>
  <c r="FI150" i="2" s="1"/>
  <c r="FF148" i="2"/>
  <c r="FF150" i="2" s="1"/>
  <c r="FG148" i="2"/>
  <c r="FG150" i="2" s="1"/>
  <c r="FH148" i="2"/>
  <c r="FH150" i="2" s="1"/>
  <c r="FG142" i="2"/>
  <c r="CX82" i="2"/>
  <c r="CX92" i="2" s="1"/>
  <c r="CX127" i="2"/>
  <c r="CW82" i="2"/>
  <c r="DA92" i="2" s="1"/>
  <c r="CW127" i="2"/>
  <c r="CV82" i="2"/>
  <c r="CV92" i="2" s="1"/>
  <c r="CV127" i="2"/>
  <c r="CU82" i="2"/>
  <c r="CU92" i="2" s="1"/>
  <c r="CU127" i="2"/>
  <c r="DB82" i="2"/>
  <c r="DF92" i="2" s="1"/>
  <c r="DB127" i="2"/>
  <c r="FG127" i="2" s="1"/>
  <c r="CZ82" i="2"/>
  <c r="DD92" i="2" s="1"/>
  <c r="CZ127" i="2"/>
  <c r="CY82" i="2"/>
  <c r="CY127" i="2"/>
  <c r="DJ150" i="2"/>
  <c r="DO97" i="2"/>
  <c r="DO81" i="2"/>
  <c r="DP97" i="2"/>
  <c r="DP81" i="2"/>
  <c r="DP82" i="2" s="1"/>
  <c r="FH94" i="2"/>
  <c r="BV77" i="2"/>
  <c r="BV79" i="2" s="1"/>
  <c r="BV81" i="2" s="1"/>
  <c r="BX73" i="2"/>
  <c r="BX94" i="2" s="1"/>
  <c r="CB85" i="2"/>
  <c r="BY73" i="2"/>
  <c r="BY94" i="2" s="1"/>
  <c r="CC85" i="2"/>
  <c r="CG92" i="2"/>
  <c r="BW85" i="2"/>
  <c r="CA85" i="2"/>
  <c r="DI97" i="2"/>
  <c r="FI97" i="2"/>
  <c r="DH81" i="2"/>
  <c r="FJ95" i="2"/>
  <c r="DM80" i="2"/>
  <c r="FJ80" i="2" s="1"/>
  <c r="FJ81" i="2" s="1"/>
  <c r="FJ82" i="2" s="1"/>
  <c r="DN97" i="2"/>
  <c r="DK94" i="2"/>
  <c r="DK77" i="2"/>
  <c r="DK79" i="2" s="1"/>
  <c r="DL97" i="2"/>
  <c r="DJ81" i="2"/>
  <c r="DI81" i="2"/>
  <c r="DG81" i="2"/>
  <c r="DG97" i="2"/>
  <c r="DC81" i="2"/>
  <c r="DC97" i="2"/>
  <c r="BW96" i="2"/>
  <c r="BW95" i="2"/>
  <c r="BW73" i="2"/>
  <c r="BW77" i="2" s="1"/>
  <c r="BW79" i="2" s="1"/>
  <c r="BZ77" i="2"/>
  <c r="BY95" i="2"/>
  <c r="BY96" i="2"/>
  <c r="BY85" i="2"/>
  <c r="BX85" i="2"/>
  <c r="BX95" i="2"/>
  <c r="BX96" i="2"/>
  <c r="BS81" i="2"/>
  <c r="BS82" i="2" s="1"/>
  <c r="EN95" i="2"/>
  <c r="DV92" i="2" l="1"/>
  <c r="FS6" i="2"/>
  <c r="FR3" i="2"/>
  <c r="FQ17" i="2"/>
  <c r="FP18" i="2"/>
  <c r="CY92" i="2"/>
  <c r="FQ89" i="2"/>
  <c r="FR11" i="2"/>
  <c r="FQ90" i="2"/>
  <c r="FR12" i="2"/>
  <c r="FR88" i="2"/>
  <c r="DB92" i="2"/>
  <c r="CW92" i="2"/>
  <c r="CZ92" i="2"/>
  <c r="BY77" i="2"/>
  <c r="BY79" i="2" s="1"/>
  <c r="BY97" i="2" s="1"/>
  <c r="DH82" i="2"/>
  <c r="DH92" i="2" s="1"/>
  <c r="DH127" i="2"/>
  <c r="DJ82" i="2"/>
  <c r="DJ92" i="2" s="1"/>
  <c r="DJ127" i="2"/>
  <c r="FI127" i="2" s="1"/>
  <c r="DI82" i="2"/>
  <c r="DI92" i="2" s="1"/>
  <c r="DI127" i="2"/>
  <c r="DP127" i="2"/>
  <c r="BX77" i="2"/>
  <c r="BX79" i="2" s="1"/>
  <c r="BX97" i="2" s="1"/>
  <c r="DO82" i="2"/>
  <c r="DO127" i="2"/>
  <c r="BZ79" i="2"/>
  <c r="BZ81" i="2" s="1"/>
  <c r="BZ82" i="2" s="1"/>
  <c r="CD92" i="2" s="1"/>
  <c r="DN81" i="2"/>
  <c r="DM97" i="2"/>
  <c r="FK94" i="2"/>
  <c r="FJ94" i="2"/>
  <c r="FI81" i="2"/>
  <c r="FI82" i="2" s="1"/>
  <c r="FM15" i="2"/>
  <c r="BW94" i="2"/>
  <c r="DK97" i="2"/>
  <c r="DL81" i="2"/>
  <c r="DM81" i="2"/>
  <c r="DC82" i="2"/>
  <c r="DC92" i="2" s="1"/>
  <c r="DC127" i="2"/>
  <c r="DG82" i="2"/>
  <c r="DG127" i="2"/>
  <c r="BW97" i="2"/>
  <c r="BV82" i="2"/>
  <c r="BV97" i="2"/>
  <c r="EY80" i="2"/>
  <c r="EU83" i="2"/>
  <c r="EU78" i="2"/>
  <c r="EU75" i="2"/>
  <c r="EU74" i="2"/>
  <c r="EV83" i="2"/>
  <c r="BN114" i="2"/>
  <c r="BN125" i="2" s="1"/>
  <c r="BN101" i="2"/>
  <c r="BN112" i="2" s="1"/>
  <c r="EW31" i="2"/>
  <c r="BN73" i="2"/>
  <c r="BN76" i="2"/>
  <c r="EW52" i="2"/>
  <c r="EZ74" i="2"/>
  <c r="EZ76" i="2" s="1"/>
  <c r="EW48" i="2"/>
  <c r="EW27" i="2"/>
  <c r="EW44" i="2"/>
  <c r="EW16" i="2"/>
  <c r="EW17" i="2"/>
  <c r="EW65" i="2"/>
  <c r="EW21" i="2"/>
  <c r="EW15" i="2"/>
  <c r="EW50" i="2"/>
  <c r="EW29" i="2"/>
  <c r="BM78" i="2"/>
  <c r="BM76" i="2"/>
  <c r="BL78" i="2"/>
  <c r="BL76" i="2"/>
  <c r="BJ99" i="2"/>
  <c r="ET28" i="2"/>
  <c r="ES28" i="2"/>
  <c r="ER28" i="2"/>
  <c r="ER71" i="2" s="1"/>
  <c r="EQ28" i="2"/>
  <c r="EP28" i="2"/>
  <c r="EP71" i="2" s="1"/>
  <c r="EO28" i="2"/>
  <c r="BJ76" i="2"/>
  <c r="ES76" i="2"/>
  <c r="ER76" i="2"/>
  <c r="EQ76" i="2"/>
  <c r="EP76" i="2"/>
  <c r="EO76" i="2"/>
  <c r="EN76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EV52" i="2"/>
  <c r="EU52" i="2"/>
  <c r="EV75" i="2"/>
  <c r="EV74" i="2"/>
  <c r="EV25" i="2"/>
  <c r="EV48" i="2"/>
  <c r="EV27" i="2"/>
  <c r="EV44" i="2"/>
  <c r="EV16" i="2"/>
  <c r="EV17" i="2"/>
  <c r="EV65" i="2"/>
  <c r="EV21" i="2"/>
  <c r="EV15" i="2"/>
  <c r="EV50" i="2"/>
  <c r="EV31" i="2"/>
  <c r="BI78" i="2"/>
  <c r="EV78" i="2" s="1"/>
  <c r="BI76" i="2"/>
  <c r="BH76" i="2"/>
  <c r="EV29" i="2"/>
  <c r="EU16" i="2"/>
  <c r="ET16" i="2"/>
  <c r="EU48" i="2"/>
  <c r="EU27" i="2"/>
  <c r="EU63" i="2"/>
  <c r="EU44" i="2"/>
  <c r="EU17" i="2"/>
  <c r="EU65" i="2"/>
  <c r="EU21" i="2"/>
  <c r="EU15" i="2"/>
  <c r="ET63" i="2"/>
  <c r="ET44" i="2"/>
  <c r="ET17" i="2"/>
  <c r="ET65" i="2"/>
  <c r="ET21" i="2"/>
  <c r="ES65" i="2"/>
  <c r="ES15" i="2"/>
  <c r="ES50" i="2"/>
  <c r="ET15" i="2"/>
  <c r="EU50" i="2"/>
  <c r="EU31" i="2"/>
  <c r="ET50" i="2"/>
  <c r="ES29" i="2"/>
  <c r="ET29" i="2"/>
  <c r="EU29" i="2"/>
  <c r="BF76" i="2"/>
  <c r="BG76" i="2"/>
  <c r="ET31" i="2"/>
  <c r="ET27" i="2"/>
  <c r="ET48" i="2"/>
  <c r="ET53" i="2"/>
  <c r="ET54" i="2"/>
  <c r="EU54" i="2" s="1"/>
  <c r="ET45" i="2"/>
  <c r="EU45" i="2" s="1"/>
  <c r="EV45" i="2" s="1"/>
  <c r="ET52" i="2"/>
  <c r="ET61" i="2"/>
  <c r="EU61" i="2" s="1"/>
  <c r="EV61" i="2" s="1"/>
  <c r="ET74" i="2"/>
  <c r="ET75" i="2"/>
  <c r="ET57" i="2"/>
  <c r="EU57" i="2" s="1"/>
  <c r="ET59" i="2"/>
  <c r="EU59" i="2" s="1"/>
  <c r="EV59" i="2" s="1"/>
  <c r="ET64" i="2"/>
  <c r="EU64" i="2" s="1"/>
  <c r="EV64" i="2" s="1"/>
  <c r="AY53" i="2"/>
  <c r="AZ73" i="2"/>
  <c r="AZ77" i="2" s="1"/>
  <c r="AZ79" i="2" s="1"/>
  <c r="AZ97" i="2" s="1"/>
  <c r="AX63" i="2"/>
  <c r="AX52" i="2"/>
  <c r="AZ96" i="2"/>
  <c r="AZ95" i="2"/>
  <c r="ES31" i="2"/>
  <c r="J4" i="1"/>
  <c r="J7" i="1" s="1"/>
  <c r="C23" i="3"/>
  <c r="C22" i="3"/>
  <c r="C26" i="5"/>
  <c r="AZ83" i="2"/>
  <c r="ET83" i="2" s="1"/>
  <c r="EN77" i="2"/>
  <c r="EN79" i="2" s="1"/>
  <c r="EN81" i="2" s="1"/>
  <c r="EN82" i="2" s="1"/>
  <c r="AQ48" i="2"/>
  <c r="AS15" i="2"/>
  <c r="AS63" i="2"/>
  <c r="BK76" i="2"/>
  <c r="FT6" i="2" l="1"/>
  <c r="FU6" i="2" s="1"/>
  <c r="FV6" i="2" s="1"/>
  <c r="FS3" i="2"/>
  <c r="FR17" i="2"/>
  <c r="FQ18" i="2"/>
  <c r="FR90" i="2"/>
  <c r="FS12" i="2"/>
  <c r="FS11" i="2"/>
  <c r="FR89" i="2"/>
  <c r="FT3" i="2"/>
  <c r="FS88" i="2"/>
  <c r="BY81" i="2"/>
  <c r="BY82" i="2" s="1"/>
  <c r="CC92" i="2" s="1"/>
  <c r="DM82" i="2"/>
  <c r="DM92" i="2" s="1"/>
  <c r="DM127" i="2"/>
  <c r="DL82" i="2"/>
  <c r="DP92" i="2" s="1"/>
  <c r="DL127" i="2"/>
  <c r="DN82" i="2"/>
  <c r="DR92" i="2" s="1"/>
  <c r="DN127" i="2"/>
  <c r="DL92" i="2"/>
  <c r="DN92" i="2"/>
  <c r="BZ92" i="2"/>
  <c r="BZ97" i="2"/>
  <c r="FJ97" i="2"/>
  <c r="FL73" i="2"/>
  <c r="FL72" i="2" s="1"/>
  <c r="FN15" i="2"/>
  <c r="FM71" i="2"/>
  <c r="FM85" i="2" s="1"/>
  <c r="FK95" i="2"/>
  <c r="FL74" i="2"/>
  <c r="DK81" i="2"/>
  <c r="DG92" i="2"/>
  <c r="BW81" i="2"/>
  <c r="BW82" i="2" s="1"/>
  <c r="ET76" i="2"/>
  <c r="EW78" i="2"/>
  <c r="BX81" i="2"/>
  <c r="BX82" i="2" s="1"/>
  <c r="EV71" i="2"/>
  <c r="EV95" i="2" s="1"/>
  <c r="ET71" i="2"/>
  <c r="ET95" i="2" s="1"/>
  <c r="EQ71" i="2"/>
  <c r="EO71" i="2"/>
  <c r="ES71" i="2"/>
  <c r="EU71" i="2"/>
  <c r="BQ71" i="2"/>
  <c r="AY71" i="2"/>
  <c r="AY96" i="2" s="1"/>
  <c r="EV76" i="2"/>
  <c r="BN94" i="2"/>
  <c r="BN77" i="2"/>
  <c r="BN79" i="2" s="1"/>
  <c r="AZ94" i="2"/>
  <c r="EP95" i="2"/>
  <c r="EP73" i="2"/>
  <c r="EP77" i="2" s="1"/>
  <c r="EP79" i="2" s="1"/>
  <c r="EP81" i="2" s="1"/>
  <c r="EP82" i="2" s="1"/>
  <c r="AZ81" i="2"/>
  <c r="AZ82" i="2" s="1"/>
  <c r="ER95" i="2"/>
  <c r="ER73" i="2"/>
  <c r="BN96" i="2"/>
  <c r="BN95" i="2"/>
  <c r="FA74" i="2"/>
  <c r="EU76" i="2"/>
  <c r="EX83" i="2"/>
  <c r="FS17" i="2" l="1"/>
  <c r="FR18" i="2"/>
  <c r="FS90" i="2"/>
  <c r="FT12" i="2"/>
  <c r="FT11" i="2"/>
  <c r="FS89" i="2"/>
  <c r="FU3" i="2"/>
  <c r="FT88" i="2"/>
  <c r="EQ95" i="2"/>
  <c r="EQ85" i="2"/>
  <c r="EO95" i="2"/>
  <c r="EO85" i="2"/>
  <c r="EP85" i="2"/>
  <c r="DQ92" i="2"/>
  <c r="DK82" i="2"/>
  <c r="DO92" i="2" s="1"/>
  <c r="DK127" i="2"/>
  <c r="FJ127" i="2" s="1"/>
  <c r="BW92" i="2"/>
  <c r="CA92" i="2"/>
  <c r="BX92" i="2"/>
  <c r="CB92" i="2"/>
  <c r="FM73" i="2"/>
  <c r="FM72" i="2" s="1"/>
  <c r="FL94" i="2"/>
  <c r="FO15" i="2"/>
  <c r="FN71" i="2"/>
  <c r="FN85" i="2" s="1"/>
  <c r="FL76" i="2"/>
  <c r="FL77" i="2" s="1"/>
  <c r="FL95" i="2"/>
  <c r="FM74" i="2"/>
  <c r="EO73" i="2"/>
  <c r="EO77" i="2" s="1"/>
  <c r="EO79" i="2" s="1"/>
  <c r="EO81" i="2" s="1"/>
  <c r="EO82" i="2" s="1"/>
  <c r="EO92" i="2" s="1"/>
  <c r="ER85" i="2"/>
  <c r="EQ73" i="2"/>
  <c r="EQ77" i="2" s="1"/>
  <c r="EQ79" i="2" s="1"/>
  <c r="EQ81" i="2" s="1"/>
  <c r="EQ82" i="2" s="1"/>
  <c r="EQ92" i="2" s="1"/>
  <c r="EZ83" i="2"/>
  <c r="FA83" i="2" s="1"/>
  <c r="FB83" i="2" s="1"/>
  <c r="FC83" i="2" s="1"/>
  <c r="EZ71" i="2"/>
  <c r="EZ95" i="2" s="1"/>
  <c r="EY71" i="2"/>
  <c r="EY73" i="2" s="1"/>
  <c r="EV85" i="2"/>
  <c r="BQ96" i="2"/>
  <c r="BQ73" i="2"/>
  <c r="BQ94" i="2" s="1"/>
  <c r="BQ95" i="2"/>
  <c r="AY73" i="2"/>
  <c r="AY77" i="2" s="1"/>
  <c r="AY79" i="2" s="1"/>
  <c r="BR79" i="2"/>
  <c r="BR97" i="2" s="1"/>
  <c r="AY95" i="2"/>
  <c r="BT85" i="2"/>
  <c r="ES95" i="2"/>
  <c r="ES85" i="2"/>
  <c r="ES73" i="2"/>
  <c r="BN97" i="2"/>
  <c r="BN81" i="2"/>
  <c r="BN82" i="2" s="1"/>
  <c r="ET85" i="2"/>
  <c r="FA76" i="2"/>
  <c r="ER94" i="2"/>
  <c r="ER77" i="2"/>
  <c r="ER79" i="2" s="1"/>
  <c r="ER81" i="2" s="1"/>
  <c r="ER82" i="2" s="1"/>
  <c r="EU95" i="2"/>
  <c r="ET73" i="2"/>
  <c r="EU85" i="2"/>
  <c r="FT17" i="2" l="1"/>
  <c r="FS18" i="2"/>
  <c r="FT90" i="2"/>
  <c r="FU12" i="2"/>
  <c r="FT89" i="2"/>
  <c r="FU11" i="2"/>
  <c r="FV3" i="2"/>
  <c r="FU88" i="2"/>
  <c r="DK92" i="2"/>
  <c r="FN73" i="2"/>
  <c r="FN72" i="2" s="1"/>
  <c r="FM95" i="2"/>
  <c r="FM76" i="2"/>
  <c r="FM77" i="2" s="1"/>
  <c r="FP15" i="2"/>
  <c r="FP71" i="2" s="1"/>
  <c r="FO71" i="2"/>
  <c r="FO85" i="2" s="1"/>
  <c r="FM94" i="2"/>
  <c r="FN74" i="2"/>
  <c r="ER92" i="2"/>
  <c r="EP92" i="2"/>
  <c r="EY94" i="2"/>
  <c r="EY77" i="2"/>
  <c r="EY79" i="2" s="1"/>
  <c r="BQ77" i="2"/>
  <c r="BQ79" i="2" s="1"/>
  <c r="AY94" i="2"/>
  <c r="AY81" i="2"/>
  <c r="AY82" i="2" s="1"/>
  <c r="AY97" i="2"/>
  <c r="FB76" i="2"/>
  <c r="ES77" i="2"/>
  <c r="ES79" i="2" s="1"/>
  <c r="ES81" i="2" s="1"/>
  <c r="ES82" i="2" s="1"/>
  <c r="ES92" i="2" s="1"/>
  <c r="ES94" i="2"/>
  <c r="EY95" i="2"/>
  <c r="ET77" i="2"/>
  <c r="ET79" i="2" s="1"/>
  <c r="ET80" i="2" s="1"/>
  <c r="ET81" i="2" s="1"/>
  <c r="ET82" i="2" s="1"/>
  <c r="ET72" i="2"/>
  <c r="BR81" i="2"/>
  <c r="BR82" i="2" s="1"/>
  <c r="EZ85" i="2"/>
  <c r="FP73" i="2" l="1"/>
  <c r="FP85" i="2"/>
  <c r="FU17" i="2"/>
  <c r="FT18" i="2"/>
  <c r="FV11" i="2"/>
  <c r="FV89" i="2" s="1"/>
  <c r="FU89" i="2"/>
  <c r="FU90" i="2"/>
  <c r="FV12" i="2"/>
  <c r="FV90" i="2" s="1"/>
  <c r="FV88" i="2"/>
  <c r="FO73" i="2"/>
  <c r="FO72" i="2" s="1"/>
  <c r="FK97" i="2"/>
  <c r="FN94" i="2"/>
  <c r="FN76" i="2"/>
  <c r="FN77" i="2" s="1"/>
  <c r="FN95" i="2"/>
  <c r="FO74" i="2"/>
  <c r="FQ15" i="2"/>
  <c r="BR92" i="2"/>
  <c r="BV92" i="2"/>
  <c r="FA95" i="2"/>
  <c r="BQ97" i="2"/>
  <c r="BQ81" i="2"/>
  <c r="BQ82" i="2" s="1"/>
  <c r="EY81" i="2"/>
  <c r="ET92" i="2"/>
  <c r="FV17" i="2" l="1"/>
  <c r="FV18" i="2" s="1"/>
  <c r="FU18" i="2"/>
  <c r="FQ71" i="2"/>
  <c r="FR15" i="2"/>
  <c r="FP72" i="2"/>
  <c r="FP74" i="2"/>
  <c r="FP76" i="2" s="1"/>
  <c r="FP77" i="2" s="1"/>
  <c r="FO94" i="2"/>
  <c r="FO76" i="2"/>
  <c r="FO77" i="2" s="1"/>
  <c r="FO95" i="2"/>
  <c r="FD76" i="2"/>
  <c r="FA73" i="2"/>
  <c r="FA77" i="2" s="1"/>
  <c r="FA79" i="2" s="1"/>
  <c r="FA85" i="2"/>
  <c r="FB95" i="2"/>
  <c r="BT92" i="2"/>
  <c r="EY82" i="2"/>
  <c r="FQ73" i="2" l="1"/>
  <c r="FQ72" i="2" s="1"/>
  <c r="FQ85" i="2"/>
  <c r="FQ74" i="2"/>
  <c r="FQ76" i="2" s="1"/>
  <c r="FQ77" i="2" s="1"/>
  <c r="FS15" i="2"/>
  <c r="FR71" i="2"/>
  <c r="FR85" i="2" s="1"/>
  <c r="FK99" i="2"/>
  <c r="FL78" i="2" s="1"/>
  <c r="FL79" i="2" s="1"/>
  <c r="FL80" i="2" s="1"/>
  <c r="FQ94" i="2"/>
  <c r="FP94" i="2"/>
  <c r="FP95" i="2"/>
  <c r="FE76" i="2"/>
  <c r="FE77" i="2" s="1"/>
  <c r="FA72" i="2"/>
  <c r="FB77" i="2"/>
  <c r="FB79" i="2" s="1"/>
  <c r="FD71" i="2"/>
  <c r="FC95" i="2"/>
  <c r="FB85" i="2"/>
  <c r="FQ95" i="2" l="1"/>
  <c r="FR74" i="2"/>
  <c r="FR73" i="2"/>
  <c r="FR94" i="2" s="1"/>
  <c r="FT15" i="2"/>
  <c r="FS71" i="2"/>
  <c r="FS85" i="2" s="1"/>
  <c r="FD73" i="2"/>
  <c r="FD77" i="2" s="1"/>
  <c r="FE85" i="2"/>
  <c r="FL97" i="2"/>
  <c r="FL81" i="2"/>
  <c r="FD95" i="2"/>
  <c r="FF76" i="2"/>
  <c r="FF77" i="2" s="1"/>
  <c r="FC79" i="2"/>
  <c r="FC85" i="2"/>
  <c r="FA80" i="2"/>
  <c r="FA81" i="2" s="1"/>
  <c r="FR72" i="2" l="1"/>
  <c r="FS74" i="2"/>
  <c r="FS73" i="2"/>
  <c r="FS72" i="2" s="1"/>
  <c r="FU15" i="2"/>
  <c r="FT71" i="2"/>
  <c r="FT85" i="2" s="1"/>
  <c r="FR95" i="2"/>
  <c r="FR76" i="2"/>
  <c r="FR77" i="2" s="1"/>
  <c r="FL82" i="2"/>
  <c r="FL99" i="2"/>
  <c r="FD85" i="2"/>
  <c r="FA82" i="2"/>
  <c r="FT74" i="2" l="1"/>
  <c r="FT73" i="2"/>
  <c r="FT94" i="2" s="1"/>
  <c r="FV15" i="2"/>
  <c r="FV71" i="2" s="1"/>
  <c r="FU71" i="2"/>
  <c r="FU85" i="2" s="1"/>
  <c r="FS94" i="2"/>
  <c r="FS95" i="2"/>
  <c r="FS76" i="2"/>
  <c r="FS77" i="2" s="1"/>
  <c r="FM78" i="2"/>
  <c r="FM79" i="2" s="1"/>
  <c r="FM80" i="2" s="1"/>
  <c r="FD79" i="2"/>
  <c r="FE79" i="2"/>
  <c r="FE95" i="2"/>
  <c r="FB80" i="2"/>
  <c r="FB81" i="2" s="1"/>
  <c r="FV85" i="2" l="1"/>
  <c r="FV73" i="2"/>
  <c r="FV74" i="2"/>
  <c r="FV76" i="2" s="1"/>
  <c r="FT72" i="2"/>
  <c r="FU74" i="2"/>
  <c r="FU73" i="2"/>
  <c r="FU94" i="2" s="1"/>
  <c r="FT76" i="2"/>
  <c r="FT77" i="2" s="1"/>
  <c r="FT95" i="2"/>
  <c r="FM97" i="2"/>
  <c r="FM81" i="2"/>
  <c r="FE81" i="2"/>
  <c r="FE82" i="2" s="1"/>
  <c r="FF79" i="2"/>
  <c r="FB82" i="2"/>
  <c r="FB92" i="2" s="1"/>
  <c r="FU72" i="2" l="1"/>
  <c r="FV77" i="2"/>
  <c r="FV72" i="2"/>
  <c r="FV94" i="2"/>
  <c r="FV95" i="2"/>
  <c r="FU76" i="2"/>
  <c r="FU77" i="2" s="1"/>
  <c r="FU95" i="2"/>
  <c r="FF81" i="2"/>
  <c r="FF82" i="2" s="1"/>
  <c r="FF92" i="2" s="1"/>
  <c r="FF97" i="2"/>
  <c r="FM82" i="2"/>
  <c r="FM99" i="2"/>
  <c r="FH81" i="2"/>
  <c r="FH82" i="2" s="1"/>
  <c r="FG79" i="2"/>
  <c r="FG95" i="2"/>
  <c r="FC81" i="2"/>
  <c r="FG81" i="2" l="1"/>
  <c r="FG82" i="2" s="1"/>
  <c r="FG97" i="2"/>
  <c r="FN78" i="2"/>
  <c r="FN79" i="2" s="1"/>
  <c r="FN80" i="2" s="1"/>
  <c r="FC82" i="2"/>
  <c r="FC92" i="2" s="1"/>
  <c r="FN97" i="2" l="1"/>
  <c r="FN81" i="2"/>
  <c r="FD81" i="2"/>
  <c r="FN82" i="2" l="1"/>
  <c r="FN99" i="2"/>
  <c r="FD82" i="2"/>
  <c r="FO78" i="2" l="1"/>
  <c r="FO79" i="2" s="1"/>
  <c r="FO80" i="2" s="1"/>
  <c r="FD92" i="2"/>
  <c r="FE92" i="2"/>
  <c r="FO97" i="2" l="1"/>
  <c r="FO81" i="2"/>
  <c r="AV71" i="2"/>
  <c r="AV96" i="2" s="1"/>
  <c r="FO82" i="2" l="1"/>
  <c r="FO99" i="2"/>
  <c r="AV95" i="2"/>
  <c r="BU85" i="2"/>
  <c r="BU73" i="2"/>
  <c r="AV73" i="2"/>
  <c r="FP78" i="2" l="1"/>
  <c r="FP79" i="2" s="1"/>
  <c r="FP80" i="2" s="1"/>
  <c r="BU94" i="2"/>
  <c r="BU77" i="2"/>
  <c r="BU79" i="2" s="1"/>
  <c r="BU97" i="2" s="1"/>
  <c r="AV77" i="2"/>
  <c r="AV79" i="2" s="1"/>
  <c r="AV94" i="2"/>
  <c r="AR71" i="2"/>
  <c r="AR96" i="2" s="1"/>
  <c r="FP97" i="2" l="1"/>
  <c r="AV81" i="2"/>
  <c r="AV82" i="2" s="1"/>
  <c r="AZ92" i="2" s="1"/>
  <c r="AV97" i="2"/>
  <c r="BU81" i="2"/>
  <c r="BU82" i="2" s="1"/>
  <c r="AR95" i="2"/>
  <c r="AR73" i="2"/>
  <c r="FP81" i="2" l="1"/>
  <c r="BU92" i="2"/>
  <c r="BY92" i="2"/>
  <c r="AR77" i="2"/>
  <c r="AR79" i="2" s="1"/>
  <c r="AR94" i="2"/>
  <c r="FP82" i="2" l="1"/>
  <c r="FP99" i="2"/>
  <c r="AR81" i="2"/>
  <c r="AR82" i="2" s="1"/>
  <c r="AV92" i="2" s="1"/>
  <c r="AR97" i="2"/>
  <c r="AS71" i="2"/>
  <c r="AS95" i="2" s="1"/>
  <c r="FQ78" i="2" l="1"/>
  <c r="FQ79" i="2" s="1"/>
  <c r="FQ80" i="2" s="1"/>
  <c r="FQ81" i="2" s="1"/>
  <c r="AS96" i="2"/>
  <c r="AS73" i="2"/>
  <c r="FQ97" i="2" l="1"/>
  <c r="AS94" i="2"/>
  <c r="AS77" i="2"/>
  <c r="AS79" i="2" s="1"/>
  <c r="AS97" i="2" l="1"/>
  <c r="AS81" i="2"/>
  <c r="AS82" i="2" s="1"/>
  <c r="AQ71" i="2"/>
  <c r="AQ96" i="2" s="1"/>
  <c r="FQ82" i="2" l="1"/>
  <c r="FQ99" i="2"/>
  <c r="AQ73" i="2"/>
  <c r="AQ95" i="2"/>
  <c r="FR78" i="2" l="1"/>
  <c r="FR79" i="2" s="1"/>
  <c r="FR80" i="2" s="1"/>
  <c r="AQ77" i="2"/>
  <c r="AQ79" i="2" s="1"/>
  <c r="AQ94" i="2"/>
  <c r="FR81" i="2" l="1"/>
  <c r="FR97" i="2"/>
  <c r="AQ97" i="2"/>
  <c r="AQ81" i="2"/>
  <c r="AQ82" i="2" s="1"/>
  <c r="AU71" i="2"/>
  <c r="AU96" i="2" s="1"/>
  <c r="FR82" i="2" l="1"/>
  <c r="FR99" i="2"/>
  <c r="AU95" i="2"/>
  <c r="AU73" i="2"/>
  <c r="FS78" i="2" l="1"/>
  <c r="FS79" i="2" s="1"/>
  <c r="AU94" i="2"/>
  <c r="AU77" i="2"/>
  <c r="AU79" i="2" s="1"/>
  <c r="AW71" i="2"/>
  <c r="AW95" i="2" s="1"/>
  <c r="FS80" i="2" l="1"/>
  <c r="FS97" i="2" s="1"/>
  <c r="AW73" i="2"/>
  <c r="AW94" i="2" s="1"/>
  <c r="AU81" i="2"/>
  <c r="AU82" i="2" s="1"/>
  <c r="AU97" i="2"/>
  <c r="AW96" i="2"/>
  <c r="FS81" i="2" l="1"/>
  <c r="AW77" i="2"/>
  <c r="AW79" i="2" s="1"/>
  <c r="AU92" i="2"/>
  <c r="AY92" i="2"/>
  <c r="AP71" i="2"/>
  <c r="AP96" i="2" s="1"/>
  <c r="FS82" i="2" l="1"/>
  <c r="FS99" i="2"/>
  <c r="AW97" i="2"/>
  <c r="AW81" i="2"/>
  <c r="AW82" i="2" s="1"/>
  <c r="AP95" i="2"/>
  <c r="AP73" i="2"/>
  <c r="FT78" i="2" l="1"/>
  <c r="FT79" i="2" s="1"/>
  <c r="AW92" i="2"/>
  <c r="AP77" i="2"/>
  <c r="AP79" i="2" s="1"/>
  <c r="AP94" i="2"/>
  <c r="FT80" i="2" l="1"/>
  <c r="FT97" i="2" s="1"/>
  <c r="AP97" i="2"/>
  <c r="AP81" i="2"/>
  <c r="AP82" i="2" s="1"/>
  <c r="AT71" i="2"/>
  <c r="AT95" i="2" s="1"/>
  <c r="FT81" i="2" l="1"/>
  <c r="FT82" i="2" s="1"/>
  <c r="AT96" i="2"/>
  <c r="AT73" i="2"/>
  <c r="FT99" i="2" l="1"/>
  <c r="FU78" i="2" s="1"/>
  <c r="FU79" i="2" s="1"/>
  <c r="AT94" i="2"/>
  <c r="AT77" i="2"/>
  <c r="AT79" i="2" s="1"/>
  <c r="FU80" i="2" l="1"/>
  <c r="FU81" i="2" s="1"/>
  <c r="AT97" i="2"/>
  <c r="AT81" i="2"/>
  <c r="AT82" i="2" s="1"/>
  <c r="EZ73" i="2"/>
  <c r="EZ77" i="2" s="1"/>
  <c r="EZ79" i="2" s="1"/>
  <c r="FU97" i="2" l="1"/>
  <c r="FU82" i="2"/>
  <c r="FU99" i="2"/>
  <c r="FV78" i="2" s="1"/>
  <c r="FV79" i="2" s="1"/>
  <c r="EZ80" i="2"/>
  <c r="EZ81" i="2" s="1"/>
  <c r="EZ72" i="2"/>
  <c r="FV80" i="2" l="1"/>
  <c r="FV81" i="2" s="1"/>
  <c r="FV82" i="2" s="1"/>
  <c r="EZ82" i="2"/>
  <c r="FV97" i="2" l="1"/>
  <c r="FA92" i="2"/>
  <c r="EZ92" i="2"/>
  <c r="BC28" i="2" l="1"/>
  <c r="BC71" i="2" s="1"/>
  <c r="BC73" i="2" s="1"/>
  <c r="BE28" i="2"/>
  <c r="BE71" i="2" s="1"/>
  <c r="BD28" i="2"/>
  <c r="BD71" i="2" s="1"/>
  <c r="BD96" i="2" s="1"/>
  <c r="AX28" i="2"/>
  <c r="AX71" i="2" s="1"/>
  <c r="BB28" i="2"/>
  <c r="BB71" i="2" s="1"/>
  <c r="BB96" i="2" s="1"/>
  <c r="BA28" i="2"/>
  <c r="BA71" i="2" s="1"/>
  <c r="BA73" i="2" s="1"/>
  <c r="FV99" i="2" l="1"/>
  <c r="FW81" i="2"/>
  <c r="FX81" i="2" s="1"/>
  <c r="FY81" i="2" s="1"/>
  <c r="FZ81" i="2" s="1"/>
  <c r="GA81" i="2" s="1"/>
  <c r="GB81" i="2" s="1"/>
  <c r="GC81" i="2" s="1"/>
  <c r="GD81" i="2" s="1"/>
  <c r="GE81" i="2" s="1"/>
  <c r="GF81" i="2" s="1"/>
  <c r="GG81" i="2" s="1"/>
  <c r="GH81" i="2" s="1"/>
  <c r="GI81" i="2" s="1"/>
  <c r="GJ81" i="2" s="1"/>
  <c r="GK81" i="2" s="1"/>
  <c r="GL81" i="2" s="1"/>
  <c r="GM81" i="2" s="1"/>
  <c r="GN81" i="2" s="1"/>
  <c r="GO81" i="2" s="1"/>
  <c r="GP81" i="2" s="1"/>
  <c r="GQ81" i="2" s="1"/>
  <c r="GR81" i="2" s="1"/>
  <c r="GS81" i="2" s="1"/>
  <c r="GT81" i="2" s="1"/>
  <c r="GU81" i="2" s="1"/>
  <c r="GV81" i="2" s="1"/>
  <c r="GW81" i="2" s="1"/>
  <c r="GX81" i="2" s="1"/>
  <c r="GY81" i="2" s="1"/>
  <c r="GZ81" i="2" s="1"/>
  <c r="HA81" i="2" s="1"/>
  <c r="HB81" i="2" s="1"/>
  <c r="HC81" i="2" s="1"/>
  <c r="HD81" i="2" s="1"/>
  <c r="HE81" i="2" s="1"/>
  <c r="HF81" i="2" s="1"/>
  <c r="HG81" i="2" s="1"/>
  <c r="HH81" i="2" s="1"/>
  <c r="HI81" i="2" s="1"/>
  <c r="HJ81" i="2" s="1"/>
  <c r="HK81" i="2" s="1"/>
  <c r="HL81" i="2" s="1"/>
  <c r="HM81" i="2" s="1"/>
  <c r="HN81" i="2" s="1"/>
  <c r="HO81" i="2" s="1"/>
  <c r="HP81" i="2" s="1"/>
  <c r="HQ81" i="2" s="1"/>
  <c r="HR81" i="2" s="1"/>
  <c r="HS81" i="2" s="1"/>
  <c r="HT81" i="2" s="1"/>
  <c r="HU81" i="2" s="1"/>
  <c r="HV81" i="2" s="1"/>
  <c r="HW81" i="2" s="1"/>
  <c r="HX81" i="2" s="1"/>
  <c r="HY81" i="2" s="1"/>
  <c r="HZ81" i="2" s="1"/>
  <c r="IA81" i="2" s="1"/>
  <c r="IB81" i="2" s="1"/>
  <c r="IC81" i="2" s="1"/>
  <c r="ID81" i="2" s="1"/>
  <c r="IE81" i="2" s="1"/>
  <c r="IF81" i="2" s="1"/>
  <c r="IG81" i="2" s="1"/>
  <c r="IH81" i="2" s="1"/>
  <c r="II81" i="2" s="1"/>
  <c r="IJ81" i="2" s="1"/>
  <c r="IK81" i="2" s="1"/>
  <c r="IL81" i="2" s="1"/>
  <c r="IM81" i="2" s="1"/>
  <c r="IN81" i="2" s="1"/>
  <c r="IO81" i="2" s="1"/>
  <c r="IP81" i="2" s="1"/>
  <c r="IQ81" i="2" s="1"/>
  <c r="FY100" i="2" s="1"/>
  <c r="FY101" i="2" s="1"/>
  <c r="BA96" i="2"/>
  <c r="BA95" i="2"/>
  <c r="BB73" i="2"/>
  <c r="BB94" i="2" s="1"/>
  <c r="AX95" i="2"/>
  <c r="AX96" i="2"/>
  <c r="AX73" i="2"/>
  <c r="BE73" i="2"/>
  <c r="BE77" i="2" s="1"/>
  <c r="BE79" i="2" s="1"/>
  <c r="BE81" i="2" s="1"/>
  <c r="BE82" i="2" s="1"/>
  <c r="BE85" i="2"/>
  <c r="BE95" i="2"/>
  <c r="BE96" i="2"/>
  <c r="BC77" i="2"/>
  <c r="BC79" i="2" s="1"/>
  <c r="BC81" i="2" s="1"/>
  <c r="BC82" i="2" s="1"/>
  <c r="BC92" i="2" s="1"/>
  <c r="BA77" i="2"/>
  <c r="BA79" i="2" s="1"/>
  <c r="BA94" i="2"/>
  <c r="BD85" i="2"/>
  <c r="BC95" i="2"/>
  <c r="BB95" i="2"/>
  <c r="BD95" i="2"/>
  <c r="BC96" i="2"/>
  <c r="BD73" i="2"/>
  <c r="BD77" i="2" s="1"/>
  <c r="BD79" i="2" s="1"/>
  <c r="BD81" i="2" s="1"/>
  <c r="BD82" i="2" s="1"/>
  <c r="BD92" i="2" s="1"/>
  <c r="BB77" i="2" l="1"/>
  <c r="BB79" i="2" s="1"/>
  <c r="BB97" i="2" s="1"/>
  <c r="BA81" i="2"/>
  <c r="BA82" i="2" s="1"/>
  <c r="BA92" i="2" s="1"/>
  <c r="BA97" i="2"/>
  <c r="AX94" i="2"/>
  <c r="AX77" i="2"/>
  <c r="AX79" i="2" s="1"/>
  <c r="BE92" i="2" l="1"/>
  <c r="BB81" i="2"/>
  <c r="BB82" i="2" s="1"/>
  <c r="AX97" i="2"/>
  <c r="AX81" i="2"/>
  <c r="AX82" i="2" s="1"/>
  <c r="AX92" i="2" s="1"/>
  <c r="BB92" i="2" l="1"/>
  <c r="BF85" i="2" l="1"/>
  <c r="BF96" i="2"/>
  <c r="BF95" i="2"/>
  <c r="BF73" i="2"/>
  <c r="BF77" i="2" s="1"/>
  <c r="BF79" i="2" s="1"/>
  <c r="BF81" i="2" s="1"/>
  <c r="BF82" i="2" s="1"/>
  <c r="BF92" i="2" s="1"/>
  <c r="EU73" i="2" l="1"/>
  <c r="EU94" i="2" s="1"/>
  <c r="EU72" i="2" l="1"/>
  <c r="EU77" i="2"/>
  <c r="EU79" i="2" s="1"/>
  <c r="EU81" i="2" s="1"/>
  <c r="EU82" i="2" s="1"/>
  <c r="EU92" i="2" s="1"/>
  <c r="BK96" i="2" l="1"/>
  <c r="BK95" i="2"/>
  <c r="BK73" i="2"/>
  <c r="BK94" i="2" l="1"/>
  <c r="BK77" i="2"/>
  <c r="BK79" i="2" s="1"/>
  <c r="BK81" i="2" l="1"/>
  <c r="BK97" i="2"/>
  <c r="BK99" i="2" l="1"/>
  <c r="BK82" i="2"/>
  <c r="BI70" i="2"/>
  <c r="BI71" i="2" s="1"/>
  <c r="BI96" i="2" s="1"/>
  <c r="BI73" i="2" l="1"/>
  <c r="BI95" i="2"/>
  <c r="BI85" i="2"/>
  <c r="BI77" i="2" l="1"/>
  <c r="BI79" i="2" s="1"/>
  <c r="BI94" i="2"/>
  <c r="BI81" i="2" l="1"/>
  <c r="BI82" i="2" s="1"/>
  <c r="BI92" i="2" s="1"/>
  <c r="BI97" i="2"/>
  <c r="BJ73" i="2"/>
  <c r="BJ77" i="2" s="1"/>
  <c r="BJ79" i="2" s="1"/>
  <c r="BJ85" i="2"/>
  <c r="BN85" i="2"/>
  <c r="BJ95" i="2"/>
  <c r="BJ96" i="2"/>
  <c r="BJ81" i="2" l="1"/>
  <c r="BJ82" i="2" s="1"/>
  <c r="BJ97" i="2"/>
  <c r="BJ94" i="2"/>
  <c r="BJ92" i="2" l="1"/>
  <c r="BN92" i="2"/>
  <c r="EX28" i="2"/>
  <c r="EX71" i="2" s="1"/>
  <c r="EY85" i="2" l="1"/>
  <c r="EX73" i="2"/>
  <c r="EX95" i="2"/>
  <c r="BO96" i="2"/>
  <c r="BO95" i="2"/>
  <c r="BO85" i="2"/>
  <c r="BS85" i="2"/>
  <c r="BO73" i="2"/>
  <c r="BO94" i="2" l="1"/>
  <c r="BO77" i="2"/>
  <c r="BO79" i="2" s="1"/>
  <c r="EX94" i="2"/>
  <c r="EX77" i="2"/>
  <c r="EX79" i="2" s="1"/>
  <c r="EX81" i="2" s="1"/>
  <c r="EX82" i="2" l="1"/>
  <c r="BO97" i="2"/>
  <c r="BO81" i="2"/>
  <c r="BO82" i="2" s="1"/>
  <c r="EY92" i="2" l="1"/>
  <c r="BO92" i="2"/>
  <c r="BS92" i="2"/>
  <c r="BG70" i="2"/>
  <c r="BG71" i="2" s="1"/>
  <c r="BG96" i="2" s="1"/>
  <c r="BG73" i="2" l="1"/>
  <c r="BG94" i="2" s="1"/>
  <c r="BK85" i="2"/>
  <c r="BG95" i="2"/>
  <c r="BG85" i="2"/>
  <c r="BG77" i="2" l="1"/>
  <c r="BG79" i="2" s="1"/>
  <c r="BG97" i="2" s="1"/>
  <c r="BG81" i="2" l="1"/>
  <c r="BG82" i="2" s="1"/>
  <c r="BG92" i="2" s="1"/>
  <c r="BH70" i="2"/>
  <c r="BH71" i="2" s="1"/>
  <c r="BH96" i="2" s="1"/>
  <c r="BK92" i="2" l="1"/>
  <c r="BH73" i="2"/>
  <c r="BH94" i="2" s="1"/>
  <c r="BH95" i="2"/>
  <c r="BH85" i="2"/>
  <c r="EV73" i="2" l="1"/>
  <c r="EV94" i="2" s="1"/>
  <c r="BH77" i="2"/>
  <c r="BH79" i="2" s="1"/>
  <c r="BM70" i="2"/>
  <c r="BM71" i="2" s="1"/>
  <c r="BM85" i="2" s="1"/>
  <c r="EV77" i="2" l="1"/>
  <c r="EV79" i="2" s="1"/>
  <c r="EV81" i="2" s="1"/>
  <c r="EV82" i="2" s="1"/>
  <c r="EV92" i="2" s="1"/>
  <c r="EV72" i="2"/>
  <c r="BH81" i="2"/>
  <c r="BH82" i="2" s="1"/>
  <c r="BH92" i="2" s="1"/>
  <c r="BH97" i="2"/>
  <c r="BQ85" i="2"/>
  <c r="BM73" i="2"/>
  <c r="BM95" i="2"/>
  <c r="BM96" i="2"/>
  <c r="BM77" i="2" l="1"/>
  <c r="BM79" i="2" s="1"/>
  <c r="BM94" i="2"/>
  <c r="BM81" i="2" l="1"/>
  <c r="BM82" i="2" s="1"/>
  <c r="BM97" i="2"/>
  <c r="BQ92" i="2" l="1"/>
  <c r="BM92" i="2"/>
  <c r="EW28" i="2"/>
  <c r="EW71" i="2" s="1"/>
  <c r="EW73" i="2" s="1"/>
  <c r="BL70" i="2"/>
  <c r="BL71" i="2" s="1"/>
  <c r="BL73" i="2" s="1"/>
  <c r="BL94" i="2" l="1"/>
  <c r="BL77" i="2"/>
  <c r="BL79" i="2" s="1"/>
  <c r="BL81" i="2" s="1"/>
  <c r="BL82" i="2" s="1"/>
  <c r="BP92" i="2" s="1"/>
  <c r="BL96" i="2"/>
  <c r="EW77" i="2"/>
  <c r="EW79" i="2" s="1"/>
  <c r="EW81" i="2" s="1"/>
  <c r="EW82" i="2" s="1"/>
  <c r="EW94" i="2"/>
  <c r="EW85" i="2"/>
  <c r="EW95" i="2"/>
  <c r="EX85" i="2"/>
  <c r="BL85" i="2"/>
  <c r="BP85" i="2"/>
  <c r="BL95" i="2"/>
  <c r="BL97" i="2" l="1"/>
  <c r="BL92" i="2"/>
  <c r="EW92" i="2"/>
  <c r="EX9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Andre</author>
  </authors>
  <commentList>
    <comment ref="H5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  <comment ref="H17" authorId="1" shapeId="0" xr:uid="{00000000-0006-0000-0000-000001000000}">
      <text>
        <r>
          <rPr>
            <b/>
            <sz val="8"/>
            <color rgb="FF000000"/>
            <rFont val="Tahoma"/>
            <family val="2"/>
          </rPr>
          <t>Andre: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Compound patent expires 2013. LLY has formulation patent until 2014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tc={1F76061C-BD48-491B-9F77-B9D61754AAF7}</author>
  </authors>
  <commentList>
    <comment ref="E7" authorId="0" shapeId="0" xr:uid="{1F76061C-BD48-491B-9F77-B9D61754AAF7}">
      <text>
        <t>[Threaded comment]
Your version of Excel allows you to read this threaded comment; however, any edits to it will get removed if the file is opened in a newer version of Excel. Learn more: https://go.microsoft.com/fwlink/?linkid=870924
Comment:
    LLY reports royalties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tc={305C25D8-EC5F-F64B-B9EB-E27AF5972BCF}</author>
    <author>tc={18EDECF3-07E9-E64C-BB5F-7F8C1AE658D1}</author>
    <author>tc={D110C76F-F305-4B4E-81AC-1163B81E3DFE}</author>
    <author>tc={F08151EC-4522-254D-A6CF-DBB4C58C9479}</author>
    <author>tc={1937C492-D834-4154-B8C8-936B5D41C8E5}</author>
    <author>tc={B3CB3BC7-46DB-4F09-9BCB-13F546853080}</author>
    <author>tc={B6EB371A-0A56-AB4A-ABD9-92DAC5F36509}</author>
    <author>tc={A9BC4FE8-80DC-7A41-916B-FD3A3AC43432}</author>
    <author>tc={1F40E5FC-CF54-AC45-BC0B-9404824FFEE4}</author>
    <author>tc={7094BEE2-B255-6946-B53D-312828A0E8FE}</author>
    <author>tc={4711E078-60E3-A24C-B7C8-30E07B67A17D}</author>
    <author>tc={2AB795EB-C43C-DF4A-B48D-CE2A18193A70}</author>
    <author>tc={298B0D48-B580-7140-B810-8C16E6EEE655}</author>
    <author>tc={BFDA6941-6E61-D14F-960B-69FE7FDBB07D}</author>
    <author>tc={94562225-C4CE-0C4D-A578-B06EF230FD49}</author>
    <author>Martin</author>
    <author>tc={B5A7069E-AFA2-4927-B60D-9C441412B492}</author>
    <author>tc={B8E5B058-4D76-41AB-AF1D-EE9BDB79C8F1}</author>
    <author>tc={FC3313FA-6E66-F54B-BE29-1B33FA52BFD4}</author>
    <author>tc={1462D965-411F-AB4E-9A9C-0EBC71E25E0E}</author>
    <author>Martin Shkreli</author>
    <author>tc={446C103B-2230-B14A-A972-079F64690778}</author>
    <author>tc={E533C1B4-8234-9040-8B49-186CC437E345}</author>
    <author>MSMB - Andre</author>
    <author>tc={8F4CD8C8-C5AD-42CC-9BCE-BBE94D1E731F}</author>
    <author>tc={F4F327C3-D382-4618-9A25-20A26153AC90}</author>
    <author>tc={86E2D938-06E9-45D6-B748-F134DEE4AE39}</author>
    <author>tc={AC99C3F7-4BA9-45D9-94D4-E0C841BBA79A}</author>
    <author>tc={C53B26C9-8602-47A2-80EC-A28651A52E20}</author>
    <author>tc={63959650-84D7-46CF-829F-FD9E350BCC20}</author>
    <author>tc={5CD0ABE8-7806-4ECB-8790-D95D213DFB7E}</author>
    <author>tc={DBBA6220-959D-47BC-90CF-6DB764B198F0}</author>
    <author>tc={FC35742F-78AD-4CF0-B81E-A497B85C76DA}</author>
    <author>tc={A9214E8B-BB63-4C5A-81B6-161440AC7FDE}</author>
    <author>tc={C66F5119-A7C1-5741-A5D9-2B573CE6D33E}</author>
    <author>tc={D94A1F2D-0D94-A840-8ACB-E2C95F3F4C07}</author>
    <author>tc={F6E279B7-B537-4FD2-9F94-8042A4D12872}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tc={7F77C49B-1A2C-41FA-8A63-291465846371}</author>
    <author>tc={E9AE85F5-95A1-1746-8695-2448A65CBE0D}</author>
    <author>tc={B67FF5F6-4925-4D70-814B-74FF0F7F0FA5}</author>
    <author>tc={E043D6AB-AC34-4707-B240-064C416613ED}</author>
    <author>tc={F1C29320-A832-47FE-9610-B0BA8742EEFB}</author>
    <author>Lane Nussbaum</author>
    <author>tc={44F04AEB-60ED-E244-B275-73D80CAB84D6}</author>
    <author>tc={DCF6DE87-1143-A848-8919-609B3D10ACF2}</author>
    <author>tc={00F4491F-C819-44C1-AC45-2ABA1B7BE593}</author>
    <author>tc={8874A794-CB8F-4280-B6A0-27B01371D863}</author>
    <author>tc={E2B8392D-784C-1C43-9C17-6F8F6E8E10E8}</author>
    <author>tc={D3E83574-E8FE-5147-B547-53DDC5467704}</author>
    <author>Bloomberg</author>
    <author>tc={C09F6605-4B5E-4E4F-877F-AF898C62BEE7}</author>
    <author>tc={6446E119-F193-1142-9DE3-B2093A985B4F}</author>
    <author>tc={C9F253B3-164F-457B-A9EC-F6A22E190BBE}</author>
    <author>tc={C1B849B5-9C8D-42CA-8F86-D113DDF519A0}</author>
    <author>tc={EA475891-7DAB-5B42-A37D-6815334EAFF1}</author>
    <author>tc={E7A7648A-AC02-E948-A141-F239D41E7779}</author>
    <author>tc={CF8F0CD1-8A08-4519-892D-513C9145E9EF}</author>
    <author>tc={F7EEE25E-A1A6-4B35-B1EF-801B6A1015FB}</author>
  </authors>
  <commentList>
    <comment ref="BA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DN5" authorId="1" shapeId="0" xr:uid="{305C25D8-EC5F-F64B-B9EB-E27AF5972BCF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Supply constrained</t>
      </text>
    </comment>
    <comment ref="FA5" authorId="2" shapeId="0" xr:uid="{18EDECF3-07E9-E64C-BB5F-7F8C1AE658D1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9/18/2014</t>
      </text>
    </comment>
    <comment ref="DH6" authorId="3" shapeId="0" xr:uid="{D110C76F-F305-4B4E-81AC-1163B81E3DFE}">
      <text>
        <t>[Threaded comment]
Your version of Excel allows you to read this threaded comment; however, any edits to it will get removed if the file is opened in a newer version of Excel. Learn more: https://go.microsoft.com/fwlink/?linkid=870924
Comment:
    5/13/2022 FDA approval</t>
      </text>
    </comment>
    <comment ref="DN6" authorId="4" shapeId="0" xr:uid="{F08151EC-4522-254D-A6CF-DBB4C58C94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DP6" authorId="5" shapeId="0" xr:uid="{1937C492-D834-4154-B8C8-936B5D41C8E5}">
      <text>
        <t>[Threaded comment]
Your version of Excel allows you to read this threaded comment; however, any edits to it will get removed if the file is opened in a newer version of Excel. Learn more: https://go.microsoft.com/fwlink/?linkid=870924
Comment:
    Stocking high teens-mid-20s% of US revenue of 7.84B = 1.4B stocking!</t>
      </text>
    </comment>
    <comment ref="DQ6" authorId="6" shapeId="0" xr:uid="{B3CB3BC7-46DB-4F09-9BCB-13F546853080}">
      <text>
        <t>[Threaded comment]
Your version of Excel allows you to read this threaded comment; however, any edits to it will get removed if the file is opened in a newer version of Excel. Learn more: https://go.microsoft.com/fwlink/?linkid=870924
Comment:
    Destocking impacted combined sales by MSD of combined US sales</t>
      </text>
    </comment>
    <comment ref="FI6" authorId="7" shapeId="0" xr:uid="{B6EB371A-0A56-AB4A-ABD9-92DAC5F3650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5/13/2022</t>
      </text>
    </comment>
    <comment ref="DN7" authorId="8" shapeId="0" xr:uid="{A9BC4FE8-80DC-7A41-916B-FD3A3AC43432}">
      <text>
        <t>[Threaded comment]
Your version of Excel allows you to read this threaded comment; however, any edits to it will get removed if the file is opened in a newer version of Excel. Learn more: https://go.microsoft.com/fwlink/?linkid=870924
Comment:
    11/8/2023 FDA approval</t>
      </text>
    </comment>
    <comment ref="FJ7" authorId="9" shapeId="0" xr:uid="{1F40E5FC-CF54-AC45-BC0B-9404824FFEE4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11/8/2023</t>
      </text>
    </comment>
    <comment ref="FG10" authorId="10" shapeId="0" xr:uid="{7094BEE2-B255-6946-B53D-312828A0E8FE}">
      <text>
        <t>[Threaded comment]
Your version of Excel allows you to read this threaded comment; however, any edits to it will get removed if the file is opened in a newer version of Excel. Learn more: https://go.microsoft.com/fwlink/?linkid=870924
Comment:
    bamlanivimab EUA 11/9/2020</t>
      </text>
    </comment>
    <comment ref="FI10" authorId="11" shapeId="0" xr:uid="{4711E078-60E3-A24C-B7C8-30E07B67A17D}">
      <text>
        <t>[Threaded comment]
Your version of Excel allows you to read this threaded comment; however, any edits to it will get removed if the file is opened in a newer version of Excel. Learn more: https://go.microsoft.com/fwlink/?linkid=870924
Comment:
    bebtelovimab approved 2/11/22</t>
      </text>
    </comment>
    <comment ref="CJ11" authorId="12" shapeId="0" xr:uid="{2AB795EB-C43C-DF4A-B48D-CE2A18193A70}">
      <text>
        <t>[Threaded comment]
Your version of Excel allows you to read this threaded comment; however, any edits to it will get removed if the file is opened in a newer version of Excel. Learn more: https://go.microsoft.com/fwlink/?linkid=870924
Comment:
    3/22/16 FDA approval</t>
      </text>
    </comment>
    <comment ref="FC11" authorId="13" shapeId="0" xr:uid="{298B0D48-B580-7140-B810-8C16E6EEE655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3/2016</t>
      </text>
    </comment>
    <comment ref="CP12" authorId="14" shapeId="0" xr:uid="{BFDA6941-6E61-D14F-960B-69FE7FDBB07D}">
      <text>
        <t>[Threaded comment]
Your version of Excel allows you to read this threaded comment; however, any edits to it will get removed if the file is opened in a newer version of Excel. Learn more: https://go.microsoft.com/fwlink/?linkid=870924
Comment:
    9/28/2017 FDA approval</t>
      </text>
    </comment>
    <comment ref="FD12" authorId="15" shapeId="0" xr:uid="{94562225-C4CE-0C4D-A578-B06EF230FD4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9/2017</t>
      </text>
    </comment>
    <comment ref="BO15" authorId="16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EI15" authorId="17" shapeId="0" xr:uid="{B5A7069E-AFA2-4927-B60D-9C441412B492}">
      <text>
        <t>[Threaded comment]
Your version of Excel allows you to read this threaded comment; however, any edits to it will get removed if the file is opened in a newer version of Excel. Learn more: https://go.microsoft.com/fwlink/?linkid=870924
Comment:
    6/14/1996 - FDA approval</t>
      </text>
    </comment>
    <comment ref="BO16" authorId="16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EQ16" authorId="18" shapeId="0" xr:uid="{B8E5B058-4D76-41AB-AF1D-EE9BDB79C8F1}">
      <text>
        <t>[Threaded comment]
Your version of Excel allows you to read this threaded comment; however, any edits to it will get removed if the file is opened in a newer version of Excel. Learn more: https://go.microsoft.com/fwlink/?linkid=870924
Comment:
    8/19/2004 approval</t>
      </text>
    </comment>
    <comment ref="FC16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17" authorId="16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FE19" authorId="19" shapeId="0" xr:uid="{FC3313FA-6E66-F54B-BE29-1B33FA52BFD4}">
      <text>
        <t>[Threaded comment]
Your version of Excel allows you to read this threaded comment; however, any edits to it will get removed if the file is opened in a newer version of Excel. Learn more: https://go.microsoft.com/fwlink/?linkid=870924
Comment:
    5/31/2018 FDA approval</t>
      </text>
    </comment>
    <comment ref="FA20" authorId="20" shapeId="0" xr:uid="{1462D965-411F-AB4E-9A9C-0EBC71E25E0E}">
      <text>
        <t>[Threaded comment]
Your version of Excel allows you to read this threaded comment; however, any edits to it will get removed if the file is opened in a newer version of Excel. Learn more: https://go.microsoft.com/fwlink/?linkid=870924
Comment:
    4/21/2014 FDA approval</t>
      </text>
    </comment>
    <comment ref="AY21" authorId="21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BO21" authorId="16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EP21" authorId="22" shapeId="0" xr:uid="{446C103B-2230-B14A-A972-079F64690778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11/21/2003</t>
      </text>
    </comment>
    <comment ref="FB22" authorId="23" shapeId="0" xr:uid="{E533C1B4-8234-9040-8B49-186CC437E345}">
      <text>
        <t>[Threaded comment]
Your version of Excel allows you to read this threaded comment; however, any edits to it will get removed if the file is opened in a newer version of Excel. Learn more: https://go.microsoft.com/fwlink/?linkid=870924
Comment:
    12/16/2015 FDA approval</t>
      </text>
    </comment>
    <comment ref="BO27" authorId="16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AX29" authorId="21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BK29" authorId="24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BO29" authorId="16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BR29" authorId="16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DH29" authorId="25" shapeId="0" xr:uid="{8F4CD8C8-C5AD-42CC-9BCE-BBE94D1E731F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</t>
      </text>
    </comment>
    <comment ref="DK29" authorId="26" shapeId="0" xr:uid="{F4F327C3-D382-4618-9A25-20A26153AC9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DL29" authorId="27" shapeId="0" xr:uid="{86E2D938-06E9-45D6-B748-F134DEE4AE3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DM29" authorId="28" shapeId="0" xr:uid="{AC99C3F7-4BA9-45D9-94D4-E0C841BBA79A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 for 1.4B</t>
      </text>
    </comment>
    <comment ref="ET29" authorId="21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EX29" authorId="16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EY29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31" authorId="16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EW31" authorId="16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EZ3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DB32" authorId="29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DF32" authorId="30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DL35" authorId="31" shapeId="0" xr:uid="{5CD0ABE8-7806-4ECB-8790-D95D213DFB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Amphastar for 625m</t>
      </text>
    </comment>
    <comment ref="DP35" authorId="32" shapeId="0" xr:uid="{DBBA6220-959D-47BC-90CF-6DB764B198F0}">
      <text>
        <t>[Threaded comment]
Your version of Excel allows you to read this threaded comment; however, any edits to it will get removed if the file is opened in a newer version of Excel. Learn more: https://go.microsoft.com/fwlink/?linkid=870924
Comment:
    12.4m?</t>
      </text>
    </comment>
    <comment ref="DQ40" authorId="33" shapeId="0" xr:uid="{FC35742F-78AD-4CF0-B81E-A497B85C76D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launched in US</t>
      </text>
    </comment>
    <comment ref="DD41" authorId="34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BO44" authorId="16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FC44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EU48" authorId="16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BO50" authorId="16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EW50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EM53" authorId="35" shapeId="0" xr:uid="{C66F5119-A7C1-5741-A5D9-2B573CE6D33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Sarafem sales of 14.6m</t>
      </text>
    </comment>
    <comment ref="EO53" authorId="36" shapeId="0" xr:uid="{D94A1F2D-0D94-A840-8ACB-E2C95F3F4C07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had 656, maybe didn’t include weekly &amp; sarafem?</t>
      </text>
    </comment>
    <comment ref="BO65" authorId="16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EY65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BO71" authorId="16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CU71" authorId="37" shapeId="0" xr:uid="{F6E279B7-B537-4FD2-9F94-8042A4D12872}">
      <text>
        <t>[Threaded comment]
Your version of Excel allows you to read this threaded comment; however, any edits to it will get removed if the file is opened in a newer version of Excel. Learn more: https://go.microsoft.com/fwlink/?linkid=870924
Comment:
    5,092</t>
      </text>
    </comment>
    <comment ref="CY71" authorId="38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CZ71" authorId="39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DA71" authorId="40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DB71" authorId="41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DC71" authorId="42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DD71" authorId="43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DE71" authorId="44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DF71" authorId="45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DL71" authorId="46" shapeId="0" xr:uid="{7F77C49B-1A2C-41FA-8A63-291465846371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Excluding Baqsimi sale of 579m.
Reported 8312.1m</t>
      </text>
    </comment>
    <comment ref="DN71" authorId="47" shapeId="0" xr:uid="{E9AE85F5-95A1-1746-8695-2448A65CBE0D}">
      <text>
        <t>[Threaded comment]
Your version of Excel allows you to read this threaded comment; however, any edits to it will get removed if the file is opened in a newer version of Excel. Learn more: https://go.microsoft.com/fwlink/?linkid=870924
Comment:
    $65m one-time milestone for Ebglyss launch.</t>
      </text>
    </comment>
    <comment ref="DT71" authorId="48" shapeId="0" xr:uid="{B67FF5F6-4925-4D70-814B-74FF0F7F0FA5}">
      <text>
        <t>[Threaded comment]
Your version of Excel allows you to read this threaded comment; however, any edits to it will get removed if the file is opened in a newer version of Excel. Learn more: https://go.microsoft.com/fwlink/?linkid=870924
Comment:
    5/6/25 consensus: 14320
8/4/25 consensus: 14700</t>
      </text>
    </comment>
    <comment ref="DU71" authorId="49" shapeId="0" xr:uid="{E043D6AB-AC34-4707-B240-064C416613ED}">
      <text>
        <t>[Threaded comment]
Your version of Excel allows you to read this threaded comment; however, any edits to it will get removed if the file is opened in a newer version of Excel. Learn more: https://go.microsoft.com/fwlink/?linkid=870924
Comment:
    5/6/25 consensus: 15370m
8/4/25 consensus: 15540m</t>
      </text>
    </comment>
    <comment ref="DV71" authorId="50" shapeId="0" xr:uid="{F1C29320-A832-47FE-9610-B0BA8742EEFB}">
      <text>
        <t>[Threaded comment]
Your version of Excel allows you to read this threaded comment; however, any edits to it will get removed if the file is opened in a newer version of Excel. Learn more: https://go.microsoft.com/fwlink/?linkid=870924
Comment:
    5/6/25 consensus: 17080m
8/4/25 consensus: 17240m</t>
      </text>
    </comment>
    <comment ref="ES71" authorId="21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ET71" authorId="21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EU71" authorId="51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EV71" authorId="16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EW71" authorId="16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FJ71" authorId="52" shapeId="0" xr:uid="{44F04AEB-60ED-E244-B275-73D80CAB84D6}">
      <text>
        <t>[Threaded comment]
Your version of Excel allows you to read this threaded comment; however, any edits to it will get removed if the file is opened in a newer version of Excel. Learn more: https://go.microsoft.com/fwlink/?linkid=870924
Comment:
    34124m actual</t>
      </text>
    </comment>
    <comment ref="FK71" authorId="53" shapeId="0" xr:uid="{DCF6DE87-1143-A848-8919-609B3D10ACF2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40.4-41.6
Q224 guidance: 45.4-46.6B
Q324 guidance: 45.4-46.0B</t>
      </text>
    </comment>
    <comment ref="AZ77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BA77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AX78" authorId="21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ET78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ET80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U80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V80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W80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DC81" authorId="54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DG81" authorId="55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DJ81" authorId="56" shapeId="0" xr:uid="{E2B8392D-784C-1C43-9C17-6F8F6E8E10E8}">
      <text>
        <t>[Threaded comment]
Your version of Excel allows you to read this threaded comment; however, any edits to it will get removed if the file is opened in a newer version of Excel. Learn more: https://go.microsoft.com/fwlink/?linkid=870924
Comment:
    1893.1m NG NI</t>
      </text>
    </comment>
    <comment ref="DN81" authorId="57" shapeId="0" xr:uid="{D3E83574-E8FE-5147-B547-53DDC5467704}">
      <text>
        <t>[Threaded comment]
Your version of Excel allows you to read this threaded comment; however, any edits to it will get removed if the file is opened in a newer version of Excel. Learn more: https://go.microsoft.com/fwlink/?linkid=870924
Comment:
    2249.4m NG NI</t>
      </text>
    </comment>
    <comment ref="AW82" authorId="58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AZ82" authorId="21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BB82" authorId="58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BO82" authorId="16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DJ82" authorId="59" shapeId="0" xr:uid="{C09F6605-4B5E-4E4F-877F-AF898C62BEE7}">
      <text>
        <t>[Threaded comment]
Your version of Excel allows you to read this threaded comment; however, any edits to it will get removed if the file is opened in a newer version of Excel. Learn more: https://go.microsoft.com/fwlink/?linkid=870924
Comment:
    2.09 NG NI</t>
      </text>
    </comment>
    <comment ref="DN82" authorId="60" shapeId="0" xr:uid="{6446E119-F193-1142-9DE3-B2093A985B4F}">
      <text>
        <t>[Threaded comment]
Your version of Excel allows you to read this threaded comment; however, any edits to it will get removed if the file is opened in a newer version of Excel. Learn more: https://go.microsoft.com/fwlink/?linkid=870924
Comment:
    2.49 NG NI</t>
      </text>
    </comment>
    <comment ref="DP82" authorId="61" shapeId="0" xr:uid="{C9F253B3-164F-457B-A9EC-F6A22E190BBE}">
      <text>
        <t>[Threaded comment]
Your version of Excel allows you to read this threaded comment; however, any edits to it will get removed if the file is opened in a newer version of Excel. Learn more: https://go.microsoft.com/fwlink/?linkid=870924
Comment:
    3.92 non-GAAP
4.06 excluding IPR&amp;D</t>
      </text>
    </comment>
    <comment ref="DT82" authorId="62" shapeId="0" xr:uid="{C1B849B5-9C8D-42CA-8F86-D113DDF519A0}">
      <text>
        <t>[Threaded comment]
Your version of Excel allows you to read this threaded comment; however, any edits to it will get removed if the file is opened in a newer version of Excel. Learn more: https://go.microsoft.com/fwlink/?linkid=870924
Comment:
    8/4/25: 5.60</t>
      </text>
    </comment>
    <comment ref="ES82" authorId="21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ET82" authorId="21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EU82" authorId="51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EW82" authorId="24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EX82" authorId="16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FK82" authorId="63" shapeId="0" xr:uid="{EA475891-7DAB-5B42-A37D-6815334EAFF1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12.20-12.70
Q224 guidance: 16.10-16.60
Q324 guidance: 13.02-13.52 non-GAAP</t>
      </text>
    </comment>
    <comment ref="DN85" authorId="64" shapeId="0" xr:uid="{E7A7648A-AC02-E948-A141-F239D41E7779}">
      <text>
        <t>[Threaded comment]
Your version of Excel allows you to read this threaded comment; however, any edits to it will get removed if the file is opened in a newer version of Excel. Learn more: https://go.microsoft.com/fwlink/?linkid=870924
Comment:
    16% higher prices (Mounjaro savings card dynamics)
11% volume
1% FX</t>
      </text>
    </comment>
    <comment ref="DP85" authorId="65" shapeId="0" xr:uid="{CF8F0CD1-8A08-4519-892D-513C9145E9EF}">
      <text>
        <t>[Threaded comment]
Your version of Excel allows you to read this threaded comment; however, any edits to it will get removed if the file is opened in a newer version of Excel. Learn more: https://go.microsoft.com/fwlink/?linkid=870924
Comment:
    +36% without Baqsimi
+27% increase in volume
+10% increase in prices</t>
      </text>
    </comment>
    <comment ref="ET94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  <comment ref="DM134" authorId="66" shapeId="0" xr:uid="{F7EEE25E-A1A6-4B35-B1EF-801B6A1015FB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Zyprexa, Baqsimi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tc={9EFBC388-7842-A34E-BC67-3F0DEF2CB4E1}</author>
    <author>tc={8C384B14-D415-9E49-B644-E9DC597BE4C9}</author>
  </authors>
  <commentList>
    <comment ref="T13" authorId="0" shapeId="0" xr:uid="{9EFBC388-7842-A34E-BC67-3F0DEF2CB4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BT13" authorId="1" shapeId="0" xr:uid="{8C384B14-D415-9E49-B644-E9DC597BE4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</commentList>
</comments>
</file>

<file path=xl/sharedStrings.xml><?xml version="1.0" encoding="utf-8"?>
<sst xmlns="http://schemas.openxmlformats.org/spreadsheetml/2006/main" count="2101" uniqueCount="1274">
  <si>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</si>
  <si>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</si>
  <si>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</si>
  <si>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</si>
  <si>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</si>
  <si>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</si>
  <si>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</si>
  <si>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</si>
  <si>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</si>
  <si>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</si>
  <si>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</si>
  <si>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</si>
  <si>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</si>
  <si>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</si>
  <si>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</si>
  <si>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</si>
  <si>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</si>
  <si>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</si>
  <si>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</si>
  <si>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</si>
  <si>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</si>
  <si>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</si>
  <si>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</si>
  <si>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</si>
  <si>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</si>
  <si>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</si>
  <si>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</si>
  <si>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</si>
  <si>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</si>
  <si>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</si>
  <si>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</si>
  <si>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</si>
  <si>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</si>
  <si>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</si>
  <si>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</si>
  <si>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</si>
  <si>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</si>
  <si>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</si>
  <si>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</si>
  <si>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</si>
  <si>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</si>
  <si>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</si>
  <si>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</si>
  <si>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</si>
  <si>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</si>
  <si>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</si>
  <si>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</si>
  <si>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</si>
  <si>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</si>
  <si>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</si>
  <si>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</si>
  <si>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</si>
  <si>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</si>
  <si>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</si>
  <si>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</si>
  <si>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</si>
  <si>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</si>
  <si>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</si>
  <si>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</si>
  <si>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</si>
  <si>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</si>
  <si>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</si>
  <si>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</si>
  <si>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</si>
  <si>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</si>
  <si>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</si>
  <si>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</si>
  <si>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</si>
  <si>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</si>
  <si>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</si>
  <si>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</si>
  <si>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</si>
  <si>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</si>
  <si>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</si>
  <si>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</si>
  <si>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</si>
  <si>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</si>
  <si>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</si>
  <si>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</si>
  <si>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</si>
  <si>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</si>
  <si>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</si>
  <si>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</si>
  <si>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</si>
  <si>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</si>
  <si>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</si>
  <si>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</si>
  <si>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</si>
  <si>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</si>
  <si>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</si>
  <si>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</si>
  <si>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</si>
  <si>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</si>
  <si>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</si>
  <si>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</si>
  <si>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</si>
  <si>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</si>
  <si>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</si>
  <si>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</si>
  <si>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</si>
  <si>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</si>
  <si>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</si>
  <si>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</si>
  <si>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</si>
  <si>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</si>
  <si>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</si>
  <si>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</si>
  <si>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</si>
  <si>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</si>
  <si>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</si>
  <si>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</si>
  <si>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</si>
  <si>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</si>
  <si>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</si>
  <si>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</si>
  <si>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</si>
  <si>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</si>
  <si>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</si>
  <si>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</si>
  <si>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</si>
  <si>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</si>
  <si>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</si>
  <si>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</si>
  <si>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</si>
  <si>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</si>
  <si>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</si>
  <si>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</si>
  <si>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</si>
  <si>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</si>
  <si>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</si>
  <si>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</si>
  <si>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</si>
  <si>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</si>
  <si>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</si>
  <si>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</si>
  <si>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</si>
  <si>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</si>
  <si>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</si>
  <si>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</si>
  <si>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</si>
  <si>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</si>
  <si>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</si>
  <si>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</si>
  <si>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</si>
  <si>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</si>
  <si>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</si>
  <si>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</si>
  <si>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</si>
  <si>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</si>
  <si>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</si>
  <si>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</si>
  <si>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</si>
  <si>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</si>
  <si>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</si>
  <si>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</si>
  <si>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</si>
  <si>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</si>
  <si>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</si>
  <si>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</si>
  <si>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</si>
  <si>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</si>
  <si>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</si>
  <si>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</si>
  <si>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</si>
  <si>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</si>
  <si>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</si>
  <si>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</si>
  <si>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</si>
  <si>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</si>
  <si>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</si>
  <si>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</si>
  <si>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</si>
  <si>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</si>
  <si>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</si>
  <si>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</si>
  <si>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</si>
  <si>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</si>
  <si>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</si>
  <si>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</si>
  <si>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</si>
  <si>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</si>
  <si>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</si>
  <si>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</si>
  <si>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</si>
  <si>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</si>
  <si>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</si>
  <si>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</si>
  <si>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</si>
  <si>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</si>
  <si>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</si>
  <si>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</si>
  <si>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</si>
  <si>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</si>
  <si>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</si>
  <si>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</si>
  <si>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</si>
  <si>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</si>
  <si>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</si>
  <si>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</si>
  <si>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</si>
  <si>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</si>
  <si>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</si>
  <si>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</si>
  <si>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</si>
  <si>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</si>
  <si>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</si>
  <si>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</si>
  <si>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</si>
  <si>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</si>
  <si>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</si>
  <si>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</si>
  <si>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</si>
  <si>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</si>
  <si>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</si>
  <si>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</si>
  <si>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</si>
  <si>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</si>
  <si>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</si>
  <si>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</si>
  <si>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</si>
  <si>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</si>
  <si>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</si>
  <si>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</si>
  <si>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</si>
  <si>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</si>
  <si>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</si>
  <si>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</si>
  <si>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</si>
  <si>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</si>
  <si>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</si>
  <si>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</si>
  <si>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</si>
  <si>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</si>
  <si>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</si>
  <si>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</si>
  <si>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</si>
  <si>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</si>
  <si>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</si>
  <si>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</si>
  <si>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</si>
  <si>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</si>
  <si>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</si>
  <si>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</si>
  <si>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</si>
  <si>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</si>
  <si>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</si>
  <si>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</si>
  <si>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</si>
  <si>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</si>
  <si>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</si>
  <si>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</si>
  <si>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</si>
  <si>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</si>
  <si>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</si>
  <si>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</si>
  <si>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</si>
  <si>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</si>
  <si>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</si>
  <si>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</si>
  <si>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</si>
  <si>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</si>
  <si>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</si>
  <si>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</si>
  <si>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</si>
  <si>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</si>
  <si>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</si>
  <si>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</si>
  <si>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</si>
  <si>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</si>
  <si>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</si>
  <si>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</si>
  <si>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</si>
  <si>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</si>
  <si>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</si>
  <si>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</si>
  <si>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</si>
  <si>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</si>
  <si>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</si>
  <si>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</si>
  <si>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</si>
  <si>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</si>
  <si>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</si>
  <si>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</si>
  <si>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</si>
  <si>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</si>
  <si>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</si>
  <si>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</si>
  <si>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</si>
  <si>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</si>
  <si>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</si>
  <si>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</si>
  <si>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</si>
  <si>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</si>
  <si>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</si>
  <si>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</si>
  <si>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</si>
  <si>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</si>
  <si>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</si>
  <si>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</si>
  <si>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</si>
  <si>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</si>
  <si>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</si>
  <si>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</si>
  <si>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</si>
  <si>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</si>
  <si>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</si>
  <si>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</si>
  <si>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</si>
  <si>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</si>
  <si>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</si>
  <si>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</si>
  <si>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</si>
  <si>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</si>
  <si>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</si>
  <si>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</si>
  <si>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</si>
  <si>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</si>
  <si>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</si>
  <si>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</si>
  <si>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</si>
  <si>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</si>
  <si>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</si>
  <si>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</si>
  <si>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</si>
  <si>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</si>
  <si>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</si>
  <si>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</si>
  <si>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</si>
  <si>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</si>
  <si>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</si>
  <si>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</si>
  <si>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</si>
  <si>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</si>
  <si>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</si>
  <si>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</si>
  <si>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</si>
  <si>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</si>
  <si>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</si>
  <si>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</si>
  <si>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</si>
  <si>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</si>
  <si>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</si>
  <si>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</si>
  <si>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</si>
  <si>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</si>
  <si>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</si>
  <si>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</si>
  <si>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</si>
  <si>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</si>
  <si>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</si>
  <si>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</si>
  <si>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</si>
  <si>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</si>
  <si>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</si>
  <si>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</si>
  <si>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</si>
  <si>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</si>
  <si>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</si>
  <si>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</si>
  <si>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</si>
  <si>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</si>
  <si>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</si>
  <si>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</si>
  <si>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</si>
  <si>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</si>
  <si>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</si>
  <si>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</si>
  <si>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</si>
  <si>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</si>
  <si>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</si>
  <si>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</si>
  <si>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</si>
  <si>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</si>
  <si>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</si>
  <si>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</si>
  <si>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</si>
  <si>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</si>
  <si>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</si>
  <si>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</si>
  <si>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</si>
  <si>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</si>
  <si>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</si>
  <si>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</si>
  <si>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</si>
  <si>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</si>
  <si>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</si>
  <si>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</si>
  <si>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</si>
  <si>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</si>
  <si>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</si>
  <si>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</si>
  <si>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</si>
  <si>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</si>
  <si>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</si>
  <si>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</si>
  <si>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</si>
  <si>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</si>
  <si>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</si>
  <si>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</si>
  <si>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</si>
  <si>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</si>
  <si>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</si>
  <si>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</si>
  <si>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</si>
  <si>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</si>
  <si>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</si>
  <si>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</si>
  <si>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</si>
  <si>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</si>
  <si>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</si>
  <si>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</si>
  <si>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</si>
  <si>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</si>
  <si>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</si>
  <si>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</si>
  <si>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</si>
  <si>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</si>
  <si>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</si>
  <si>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</si>
  <si>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</si>
  <si>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</si>
  <si>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</si>
  <si>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</si>
  <si>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</si>
  <si>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</si>
  <si>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</si>
  <si>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</si>
  <si>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</si>
  <si>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</si>
  <si>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</si>
  <si>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</si>
  <si>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</si>
  <si>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</si>
  <si>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</si>
  <si>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</si>
  <si>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</si>
  <si>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</si>
  <si>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</si>
  <si>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</si>
  <si>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</si>
  <si>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</si>
  <si>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</si>
  <si>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</si>
  <si>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</si>
  <si>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</si>
  <si>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</si>
  <si>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</si>
  <si>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</si>
  <si>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</si>
  <si>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</si>
  <si>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</si>
  <si>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</si>
  <si>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</si>
  <si>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</si>
  <si>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</si>
  <si>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</si>
  <si>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</si>
  <si>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</si>
  <si>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</si>
  <si>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</si>
  <si>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</si>
  <si>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</si>
  <si>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</si>
  <si>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</si>
  <si>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</si>
  <si>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</si>
  <si>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</si>
  <si>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</si>
  <si>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</si>
  <si>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</si>
  <si>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</si>
  <si>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</si>
  <si>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</si>
  <si>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</si>
  <si>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</si>
  <si>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</si>
  <si>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</si>
  <si>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</si>
  <si>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</si>
  <si>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</si>
  <si>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Crohn's, UC</t>
  </si>
  <si>
    <t>donanemab</t>
  </si>
  <si>
    <t>solanezumab</t>
  </si>
  <si>
    <t>a-beta mab</t>
  </si>
  <si>
    <t>Retevmo (selpercatinib)</t>
  </si>
  <si>
    <t>Tyvyt (sintilimab)</t>
  </si>
  <si>
    <t>BTK inhibitor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</si>
  <si>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</si>
  <si>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</si>
  <si>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</si>
  <si>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</si>
  <si>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</si>
  <si>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</si>
  <si>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</si>
  <si>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Glucagon</t>
  </si>
  <si>
    <t>Qbrexza</t>
  </si>
  <si>
    <t>Disposition</t>
  </si>
  <si>
    <t>Divested</t>
  </si>
  <si>
    <t>lasmiditan</t>
  </si>
  <si>
    <t>RIGL</t>
  </si>
  <si>
    <t>RIPK</t>
  </si>
  <si>
    <t>5-HT2A</t>
  </si>
  <si>
    <t>Mounjaro (tirzepatide)</t>
  </si>
  <si>
    <t>1/2021: Prevail acquisition</t>
  </si>
  <si>
    <t>RA, AA</t>
  </si>
  <si>
    <t>Trulicity (dulaglutide)</t>
  </si>
  <si>
    <t>Mounjaro</t>
  </si>
  <si>
    <t>Lartruvo</t>
  </si>
  <si>
    <t>Portrazza</t>
  </si>
  <si>
    <t>Q403</t>
  </si>
  <si>
    <t>Q303</t>
  </si>
  <si>
    <t>Q203</t>
  </si>
  <si>
    <t>Q103</t>
  </si>
  <si>
    <t>Q124</t>
  </si>
  <si>
    <t>Q224</t>
  </si>
  <si>
    <t>Q324</t>
  </si>
  <si>
    <t>Q424</t>
  </si>
  <si>
    <t>Zepbound (tirzepatide)</t>
  </si>
  <si>
    <t>Obesity</t>
  </si>
  <si>
    <t>CLL/SLL</t>
  </si>
  <si>
    <t>Type 2 Diabetes, NASH</t>
  </si>
  <si>
    <t>Ebglyss (lebrikizumab)</t>
  </si>
  <si>
    <t>IL-13 mab</t>
  </si>
  <si>
    <t>Omvoh (mirikizumab)</t>
  </si>
  <si>
    <t>IL-23 mab</t>
  </si>
  <si>
    <t>Zepbound</t>
  </si>
  <si>
    <t>AK-OTOF</t>
  </si>
  <si>
    <t>OTOF hearing loss</t>
  </si>
  <si>
    <t>EVP Loxo: Jacob Van Naarden</t>
  </si>
  <si>
    <t>12/27/23: Completes acquisition of POINT Biopharma (12.50 * ~100m shares)</t>
  </si>
  <si>
    <t>Jaypirca, fka LOXO-305</t>
  </si>
  <si>
    <t>Jaypirca (pirtobrutinib)</t>
  </si>
  <si>
    <t>pirtobrutinib</t>
  </si>
  <si>
    <t>CMO: David Hyman</t>
  </si>
  <si>
    <t>non-covalent BTK inhibitor</t>
  </si>
  <si>
    <t>Phase I/II "BRUIN" n=282 2L+ MCL, CLL/SLL, other NHL</t>
  </si>
  <si>
    <t>median 4L, mPFS 19.4 months, mOS not estimable</t>
  </si>
  <si>
    <t>79.7% ORR (including PR-L) with prior covalent + BCL-2</t>
  </si>
  <si>
    <t>83.1% ORR (including PR-L) with BCL-2 naïve</t>
  </si>
  <si>
    <t>Safety</t>
  </si>
  <si>
    <t>fatigue, neutropenia, diarrhea, cough, contusion</t>
  </si>
  <si>
    <t>tirzepatide</t>
  </si>
  <si>
    <t>2/6/24: Q423 results.</t>
  </si>
  <si>
    <t>Germany injectable manufacturing site</t>
  </si>
  <si>
    <t>Generic in US. 2013</t>
  </si>
  <si>
    <t>Forteo (teriparatide)</t>
  </si>
  <si>
    <t>2 generics in US</t>
  </si>
  <si>
    <t>Cialis (tadalafil)</t>
  </si>
  <si>
    <t>Emgality (galcanezumab)</t>
  </si>
  <si>
    <t>China</t>
  </si>
  <si>
    <t>3L+ CLL/SLL accelerated approval</t>
  </si>
  <si>
    <t>Phase II "SYNERGY-NASH"</t>
  </si>
  <si>
    <t>74% absence of MASH with no worse fibrosis at 52 weeks vs. 13% for placebo</t>
  </si>
  <si>
    <t>Phase III "CYCLONE-2" mCRPC failed</t>
  </si>
  <si>
    <t>LillyDirect</t>
  </si>
  <si>
    <t>Acquisitions</t>
  </si>
  <si>
    <t>POINT Biopharma Global Inc</t>
  </si>
  <si>
    <t>Mablink Biosciences SAS</t>
  </si>
  <si>
    <t>BD</t>
  </si>
  <si>
    <t>Beam Therapeutics</t>
  </si>
  <si>
    <t>Jardiance, Glyxambi, Synjardy, Trijardy XR</t>
  </si>
  <si>
    <t>PR001 (GBA1 gene therapy)</t>
  </si>
  <si>
    <t>mazdutide</t>
  </si>
  <si>
    <t>bimagrumab</t>
  </si>
  <si>
    <t>orforglipron</t>
  </si>
  <si>
    <t>insulin efsitora</t>
  </si>
  <si>
    <t>Victoza</t>
  </si>
  <si>
    <t>Saxenda</t>
  </si>
  <si>
    <t>Rybelsus</t>
  </si>
  <si>
    <t>Ozempic</t>
  </si>
  <si>
    <t>Bydureon</t>
  </si>
  <si>
    <t>Wegovy</t>
  </si>
  <si>
    <t>semaglutide</t>
  </si>
  <si>
    <t>liraglutide</t>
  </si>
  <si>
    <t>Approval</t>
  </si>
  <si>
    <t>Company</t>
  </si>
  <si>
    <t>MEDI0382</t>
  </si>
  <si>
    <t>cotadutide</t>
  </si>
  <si>
    <t>AZN</t>
  </si>
  <si>
    <t>LLY</t>
  </si>
  <si>
    <t>NVO</t>
  </si>
  <si>
    <t>LY3502970</t>
  </si>
  <si>
    <t>lixisenatide</t>
  </si>
  <si>
    <t>LY3437943</t>
  </si>
  <si>
    <t>retratrutide</t>
  </si>
  <si>
    <t>https://www.nejm.org/doi/full/10.1056/NEJMoa2301972</t>
  </si>
  <si>
    <t>survodutide</t>
  </si>
  <si>
    <t>BI 456906</t>
  </si>
  <si>
    <t>BI/ZEAL</t>
  </si>
  <si>
    <t>albiglutide</t>
  </si>
  <si>
    <t>VK2735</t>
  </si>
  <si>
    <t>efpeglenatide</t>
  </si>
  <si>
    <t>ECC5004</t>
  </si>
  <si>
    <t>pemvidutide</t>
  </si>
  <si>
    <t>G3215</t>
  </si>
  <si>
    <t>CT-388</t>
  </si>
  <si>
    <t>PFE</t>
  </si>
  <si>
    <t>Pep2tango</t>
  </si>
  <si>
    <t>Gasherbrum Bio</t>
  </si>
  <si>
    <t>AMG133</t>
  </si>
  <si>
    <t>maridebart cafraglutide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</si>
  <si>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</si>
  <si>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</si>
  <si>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</si>
  <si>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</si>
  <si>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</si>
  <si>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</si>
  <si>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</si>
  <si>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</si>
  <si>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</si>
  <si>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</si>
  <si>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</si>
  <si>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</si>
  <si>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</si>
  <si>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</si>
  <si>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</si>
  <si>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</si>
  <si>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</si>
  <si>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</si>
  <si>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</si>
  <si>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</si>
  <si>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</si>
  <si>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</si>
  <si>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</si>
  <si>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</si>
  <si>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</si>
  <si>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</si>
  <si>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</si>
  <si>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</si>
  <si>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</si>
  <si>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</si>
  <si>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</si>
  <si>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</si>
  <si>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</si>
  <si>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</si>
  <si>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</si>
  <si>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</si>
  <si>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</si>
  <si>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Y1</t>
  </si>
  <si>
    <t>Y2</t>
  </si>
  <si>
    <t>Y3</t>
  </si>
  <si>
    <t>Y4</t>
  </si>
  <si>
    <t>Total</t>
  </si>
  <si>
    <t>Y5</t>
  </si>
  <si>
    <t>Y6</t>
  </si>
  <si>
    <t>Q100</t>
  </si>
  <si>
    <t>Q402</t>
  </si>
  <si>
    <t>Q302</t>
  </si>
  <si>
    <t>Q202</t>
  </si>
  <si>
    <t>Q102</t>
  </si>
  <si>
    <t>Q401</t>
  </si>
  <si>
    <t>Q301</t>
  </si>
  <si>
    <t>Q201</t>
  </si>
  <si>
    <t>Q101</t>
  </si>
  <si>
    <t>Q400</t>
  </si>
  <si>
    <t>Q300</t>
  </si>
  <si>
    <t>Q200</t>
  </si>
  <si>
    <t>Q499</t>
  </si>
  <si>
    <t>Q399</t>
  </si>
  <si>
    <t>Age</t>
  </si>
  <si>
    <t>20-29</t>
  </si>
  <si>
    <t>30-39</t>
  </si>
  <si>
    <t>40-49</t>
  </si>
  <si>
    <t>50-59</t>
  </si>
  <si>
    <t>60-69</t>
  </si>
  <si>
    <t>70-79</t>
  </si>
  <si>
    <t>80+</t>
  </si>
  <si>
    <t>5th</t>
  </si>
  <si>
    <t>10th</t>
  </si>
  <si>
    <t>90th</t>
  </si>
  <si>
    <t>95th</t>
  </si>
  <si>
    <t>85th</t>
  </si>
  <si>
    <t>Females</t>
  </si>
  <si>
    <t>50th</t>
  </si>
  <si>
    <t>75th</t>
  </si>
  <si>
    <t>Males</t>
  </si>
  <si>
    <t>Mean</t>
  </si>
  <si>
    <t>18% are 0-14</t>
  </si>
  <si>
    <t>US Population</t>
  </si>
  <si>
    <t>Over 20</t>
  </si>
  <si>
    <t>12m</t>
  </si>
  <si>
    <t>25m</t>
  </si>
  <si>
    <t>37m</t>
  </si>
  <si>
    <t>62m</t>
  </si>
  <si>
    <t>make 75k+</t>
  </si>
  <si>
    <t>make 100k+</t>
  </si>
  <si>
    <t>make 150k+</t>
  </si>
  <si>
    <t>make 200k+</t>
  </si>
  <si>
    <t>Q125</t>
  </si>
  <si>
    <t>Q225</t>
  </si>
  <si>
    <t>Q325</t>
  </si>
  <si>
    <t>Q425</t>
  </si>
  <si>
    <t>Q126</t>
  </si>
  <si>
    <t>Q226</t>
  </si>
  <si>
    <t>Q326</t>
  </si>
  <si>
    <t>Q426</t>
  </si>
  <si>
    <t>Q427</t>
  </si>
  <si>
    <t>Q327</t>
  </si>
  <si>
    <t>Q227</t>
  </si>
  <si>
    <t>Q127</t>
  </si>
  <si>
    <t>Q428</t>
  </si>
  <si>
    <t>Q328</t>
  </si>
  <si>
    <t>Q228</t>
  </si>
  <si>
    <t>Q128</t>
  </si>
  <si>
    <t>VKTX</t>
  </si>
  <si>
    <t>efocipegtrutide</t>
  </si>
  <si>
    <t>Mounjaro y/y</t>
  </si>
  <si>
    <t>LY3871801/R552</t>
  </si>
  <si>
    <t>Diabetes</t>
  </si>
  <si>
    <t>Obesity/T2D</t>
  </si>
  <si>
    <t>eloralintide</t>
  </si>
  <si>
    <t>retatrutide</t>
  </si>
  <si>
    <t>Obesity, OA, OSA, T2D</t>
  </si>
  <si>
    <t>muvalaplin</t>
  </si>
  <si>
    <t>Cardio</t>
  </si>
  <si>
    <t>solbinsiran</t>
  </si>
  <si>
    <t>volenrelaxin</t>
  </si>
  <si>
    <t>HF</t>
  </si>
  <si>
    <t>CD19 mab</t>
  </si>
  <si>
    <t>Multiple Sclerosis</t>
  </si>
  <si>
    <t>DC-806</t>
  </si>
  <si>
    <t>eltrekibart</t>
  </si>
  <si>
    <t>Hidradenitis suppurativa</t>
  </si>
  <si>
    <t>KV1.3 antagonist</t>
  </si>
  <si>
    <t>ocadusertib</t>
  </si>
  <si>
    <t>peresolimab</t>
  </si>
  <si>
    <t>ucenprubart</t>
  </si>
  <si>
    <t>remternetug</t>
  </si>
  <si>
    <t>Gaucher, Parkinson's</t>
  </si>
  <si>
    <t>GRN Gene Therapy</t>
  </si>
  <si>
    <t>GBA1 gene therapy</t>
  </si>
  <si>
    <t>GRN gene therapy</t>
  </si>
  <si>
    <t>Frontotemporal dementia</t>
  </si>
  <si>
    <t>O-GlcNAcase inhibitor</t>
  </si>
  <si>
    <t>P2X7 inhibitor</t>
  </si>
  <si>
    <t>SSTR4 agonist</t>
  </si>
  <si>
    <t>olomorasib</t>
  </si>
  <si>
    <t>KRAS G12C NSCLC</t>
  </si>
  <si>
    <t>KRAS</t>
  </si>
  <si>
    <t>lepodisiran</t>
  </si>
  <si>
    <t>Atherosclerosis</t>
  </si>
  <si>
    <t>8/8/24: Q224 results.</t>
  </si>
  <si>
    <t>92</t>
  </si>
  <si>
    <t>95</t>
  </si>
  <si>
    <t>104</t>
  </si>
  <si>
    <t>97</t>
  </si>
  <si>
    <t>102</t>
  </si>
  <si>
    <t>387</t>
  </si>
  <si>
    <t>91</t>
  </si>
  <si>
    <t>384</t>
  </si>
  <si>
    <t>761</t>
  </si>
  <si>
    <t>Price (EOY)</t>
  </si>
  <si>
    <t>Revenue CC y/y</t>
  </si>
  <si>
    <t>Darvon</t>
  </si>
  <si>
    <t>Takeda</t>
  </si>
  <si>
    <t>Nebcin</t>
  </si>
  <si>
    <t>Keflex</t>
  </si>
  <si>
    <t>Sold to VPHM</t>
  </si>
  <si>
    <t>Axid</t>
  </si>
  <si>
    <t>Parkinson's</t>
  </si>
  <si>
    <t>Iletin</t>
  </si>
  <si>
    <t>animal insulin</t>
  </si>
  <si>
    <t>human insulin</t>
  </si>
  <si>
    <t>insulin analog</t>
  </si>
  <si>
    <t>recombinant human insulin</t>
  </si>
  <si>
    <t>cefaclor</t>
  </si>
  <si>
    <t>Keftab</t>
  </si>
  <si>
    <t>antibiotic</t>
  </si>
  <si>
    <t>Growth Hormone deficiency</t>
  </si>
  <si>
    <t>recombinant growth hormone</t>
  </si>
  <si>
    <t>Tazidime</t>
  </si>
  <si>
    <t>Kefurox</t>
  </si>
  <si>
    <t>Kefzol</t>
  </si>
  <si>
    <t>Dynabac</t>
  </si>
  <si>
    <t>macrolide antibiotic</t>
  </si>
  <si>
    <t>cephalosporin antibiotic</t>
  </si>
  <si>
    <t>Cardiac Decompensation</t>
  </si>
  <si>
    <t>PCI</t>
  </si>
  <si>
    <t>CNTO/JNJ</t>
  </si>
  <si>
    <t>aminoglycoside antibiotic</t>
  </si>
  <si>
    <t>hypertension</t>
  </si>
  <si>
    <t>Oncovin</t>
  </si>
  <si>
    <t>Leukemia</t>
  </si>
  <si>
    <t>Velban</t>
  </si>
  <si>
    <t>Eldisine</t>
  </si>
  <si>
    <t>201 in 2002</t>
  </si>
  <si>
    <t>Dividend</t>
  </si>
  <si>
    <t>Founded: 1901</t>
  </si>
  <si>
    <t>Mandol</t>
  </si>
  <si>
    <t>carbacephem antibiotic</t>
  </si>
  <si>
    <t>statin</t>
  </si>
  <si>
    <t>H2 antagonist</t>
  </si>
  <si>
    <t>Apralan</t>
  </si>
  <si>
    <t>apramycin</t>
  </si>
  <si>
    <t>nizatidine</t>
  </si>
  <si>
    <t>GERD</t>
  </si>
  <si>
    <t>monensin</t>
  </si>
  <si>
    <t>Coban</t>
  </si>
  <si>
    <t>Compudose</t>
  </si>
  <si>
    <t>estradiol</t>
  </si>
  <si>
    <t>Darvocet-NR</t>
  </si>
  <si>
    <t>propoxyphene napsylate with acetaminophen</t>
  </si>
  <si>
    <t>dobutamine</t>
  </si>
  <si>
    <t>dirithromycin</t>
  </si>
  <si>
    <t>insulin lispro</t>
  </si>
  <si>
    <t>somatropin</t>
  </si>
  <si>
    <t>insulin</t>
  </si>
  <si>
    <t>cephalexin</t>
  </si>
  <si>
    <t>cefuroxime</t>
  </si>
  <si>
    <t>cefazolin</t>
  </si>
  <si>
    <t>loracarbef</t>
  </si>
  <si>
    <t>cefamandole</t>
  </si>
  <si>
    <t>Maxiban</t>
  </si>
  <si>
    <t>narasin and nicarbazine</t>
  </si>
  <si>
    <t>tobramycin</t>
  </si>
  <si>
    <t>vincristine</t>
  </si>
  <si>
    <t>pergolide</t>
  </si>
  <si>
    <t>fluoxetine</t>
  </si>
  <si>
    <t>abciximab</t>
  </si>
  <si>
    <t>ceftazidime</t>
  </si>
  <si>
    <t>vancomycin</t>
  </si>
  <si>
    <t>vinblastine</t>
  </si>
  <si>
    <t>Q199</t>
  </si>
  <si>
    <t>Q299</t>
  </si>
  <si>
    <t>Q198</t>
  </si>
  <si>
    <t>Q298</t>
  </si>
  <si>
    <t>Q398</t>
  </si>
  <si>
    <t>Q498</t>
  </si>
  <si>
    <t>Q197</t>
  </si>
  <si>
    <t>Q297</t>
  </si>
  <si>
    <t>Q397</t>
  </si>
  <si>
    <t>Q497</t>
  </si>
  <si>
    <t>Q196</t>
  </si>
  <si>
    <t>Q296</t>
  </si>
  <si>
    <t>Q396</t>
  </si>
  <si>
    <t>Q496</t>
  </si>
  <si>
    <t>Q195</t>
  </si>
  <si>
    <t>Q295</t>
  </si>
  <si>
    <t>Q395</t>
  </si>
  <si>
    <t>Q495</t>
  </si>
  <si>
    <t>Kisunla (donanemab)</t>
  </si>
  <si>
    <t>Kisunla, LY3002813</t>
  </si>
  <si>
    <t>N3pG (pyroglutamate epitope) amyloid beta mab</t>
  </si>
  <si>
    <t>Regulatory</t>
  </si>
  <si>
    <t>FDA rejected accelerated application 1/18/2023, approved full application 7/2/2024</t>
  </si>
  <si>
    <t>iADRS 2.92 vs. placebo in combined population</t>
  </si>
  <si>
    <t>iADRS 3.25 vs. placebo in low/medium population</t>
  </si>
  <si>
    <t>iADRS was not SS according to predefined heirarchy p=0.042</t>
  </si>
  <si>
    <t>IND 109157 opened 2/5/2013</t>
  </si>
  <si>
    <t>Phase II "TRAILBLAZER-ALZ" n=272 - AACG - NCT03367403</t>
  </si>
  <si>
    <t>72 week treatment period</t>
  </si>
  <si>
    <t>Database lock 4/28/2023</t>
  </si>
  <si>
    <t>https://www.accessdata.fda.gov/drugsatfda_docs/nda/2024/761248Orig1s000StatR.pdf</t>
  </si>
  <si>
    <t>Ebglyss</t>
  </si>
  <si>
    <t>lebrikizumab</t>
  </si>
  <si>
    <t>Presenting at FCD 2024</t>
  </si>
  <si>
    <t>PE: EASI75 at 16 weeks</t>
  </si>
  <si>
    <t>Phase III "ADvocate 1"</t>
  </si>
  <si>
    <t>Phase III "ADvocate 2"</t>
  </si>
  <si>
    <t xml:space="preserve">  57% EASI75 at 16 weeks</t>
  </si>
  <si>
    <t xml:space="preserve">  60% EASI75 at 24 weeks</t>
  </si>
  <si>
    <t>46% who were inadequate responders to dupilumab achieved EASI-75 at week 16</t>
  </si>
  <si>
    <t>Almirall in Europe for all dermatology</t>
  </si>
  <si>
    <t>Phase III "ADhere"</t>
  </si>
  <si>
    <t>Phase III "ADmirable"</t>
  </si>
  <si>
    <t>Phase III "ADore"</t>
  </si>
  <si>
    <t>Phase IIIb "ADAPT" Dupixent Failures - NCT05369403</t>
  </si>
  <si>
    <t>SVP, Immunology Development: Mark Genovese</t>
  </si>
  <si>
    <t>Dosing</t>
  </si>
  <si>
    <t>qm after 8 q2w</t>
  </si>
  <si>
    <t>EU 2023, Japan 2024</t>
  </si>
  <si>
    <t>MHRA approved 10/2024</t>
  </si>
  <si>
    <t>Japan approved 9/2024</t>
  </si>
  <si>
    <t>EVP Lilly International: Ilya Yuffa</t>
  </si>
  <si>
    <t>Phase III "TRAILBLAZER-ALZ 2" n=1736 early symptomatic AD "AACI" - NCT04437511, JAMA</t>
  </si>
  <si>
    <t>Phase III "TRAILBLAZER-ALZ-3" - preclinical AD</t>
  </si>
  <si>
    <t>TRAILBLAZER-ALZ-5 - China/Korea</t>
  </si>
  <si>
    <t>10/16/24: Q3 earnings date.</t>
  </si>
  <si>
    <t>10/16/24: Ulcerative colitis promotion.</t>
  </si>
  <si>
    <t>Omvoh</t>
  </si>
  <si>
    <t>mirikizumab</t>
  </si>
  <si>
    <t>EU, JP approved</t>
  </si>
  <si>
    <t>Phase III "LUCENT"</t>
  </si>
  <si>
    <t>24% remission at 12 weeks</t>
  </si>
  <si>
    <t>52 week histological response: 58% vs. 49%, p=0.0075.</t>
  </si>
  <si>
    <t>q4w</t>
  </si>
  <si>
    <t>10/14/24: Omvoh "VIVID-1" 1 year data vs. Stelara.</t>
  </si>
  <si>
    <t>10/8/24: Appoints AI officer.</t>
  </si>
  <si>
    <t>10/23/24: Kisunla approved in UK.</t>
  </si>
  <si>
    <t>10/2/24: $4.5B investment in Indiana manufacturing facility.</t>
  </si>
  <si>
    <t>10/25/24: Ebglyss data in Dupixent refractory AD.</t>
  </si>
  <si>
    <t>100 weeks long-term monitoring</t>
  </si>
  <si>
    <t>Phase III "ADjoin" - atopic dermatitis NCT04392154</t>
  </si>
  <si>
    <t>9/25/24: Ebglyss "ADvocate 1 &amp; 2" long-term extension data.</t>
  </si>
  <si>
    <t>9/24/24: Kisunla approved in Japan.</t>
  </si>
  <si>
    <t>ALM in EU</t>
  </si>
  <si>
    <t>38% IGA0,1 vs. 12% for placebo (combined data with ADvocate 2)</t>
  </si>
  <si>
    <t>9/13/24: Ebglyss FDA approval.</t>
  </si>
  <si>
    <t>9/12/24: Expands Ireland manufacturing by $1.3B.</t>
  </si>
  <si>
    <t>insulin efsitora alfa</t>
  </si>
  <si>
    <t>single chain insulin + IgG2 Fc domain</t>
  </si>
  <si>
    <t>52 week primary endpoint</t>
  </si>
  <si>
    <t>A1C, time in range, hypos all non-inferior and very close to degludec</t>
  </si>
  <si>
    <t>SVP Product Development: Jeff Emmick</t>
  </si>
  <si>
    <t>once weekly basal insulin</t>
  </si>
  <si>
    <t>8/13/24: Opens Boston research facility.</t>
  </si>
  <si>
    <t>MORF-057</t>
  </si>
  <si>
    <t>IBD</t>
  </si>
  <si>
    <t>8/16/24: Closes Morphic acquisition for 2.8B.</t>
  </si>
  <si>
    <t>8/16/24: BOD member retires.</t>
  </si>
  <si>
    <t>23% body weight decrease with 15mg vs. 2.1% for placebo.</t>
  </si>
  <si>
    <t>Reduced risk of progression to T2D by 94%.</t>
  </si>
  <si>
    <t>GIP/GLP-1 agonist</t>
  </si>
  <si>
    <t>Phase III "SURMOUNT-1" 176-week n=1032 pre-diabetes - NEJM 72 week data - NCT04184622</t>
  </si>
  <si>
    <t>8/22/24: investor conference.</t>
  </si>
  <si>
    <t>8/20/24: SURMOUNT-1 results for tirzepatide.</t>
  </si>
  <si>
    <t>EVP Cardiometabolic: Patrik Jonsson</t>
  </si>
  <si>
    <t>Pricing</t>
  </si>
  <si>
    <t>LillyDirect $399 for 2.5mg, $549 for 5mg</t>
  </si>
  <si>
    <t>CFO: Lucas Montarce replaces Anat Ashkenazi left for Google.</t>
  </si>
  <si>
    <t>9/10/24: QWINT-2 data.</t>
  </si>
  <si>
    <t>9/10/24: QWINT-5 data.</t>
  </si>
  <si>
    <t>9/5/24: QWINT-1 and QWINT-3 data.</t>
  </si>
  <si>
    <t>Phase III "QWINT-5" n=692 vs degludec - NCT05463744 - EASD2024</t>
  </si>
  <si>
    <t>four doses titrated over four weeks; once weekly vs. glargine daily</t>
  </si>
  <si>
    <t>PE: Non-inferior A1C at week 52: 1.31% vs. 1.27% for Lantus</t>
  </si>
  <si>
    <t xml:space="preserve">  6.92%, 6.96% A1C at 52 weeks.</t>
  </si>
  <si>
    <t>2:1 vs. insulin degludec once daily</t>
  </si>
  <si>
    <t>PE: 26 weeks A1C -0.86% vs -0.75%, with 6.93% and 7.03% at week 26.</t>
  </si>
  <si>
    <t>2 more hours/day in range for weeks 22-26.</t>
  </si>
  <si>
    <t>40% lower hypos.</t>
  </si>
  <si>
    <t>slightly more hypos vs. degludec.</t>
  </si>
  <si>
    <t>Phase III "QWINT-1" n=796 Type 2 Diabetes First-Time Basal vs Lantus 52 weeks - NCT05662332</t>
  </si>
  <si>
    <t>Phase III "QWINT-3" n=986 Type 2 Diabetes Basal Switching 78 weeks - NCT05275400</t>
  </si>
  <si>
    <t>9/9/24: Appoints Lucas Montarce as CFO.</t>
  </si>
  <si>
    <t>once weekly vs. qd insulin degludec</t>
  </si>
  <si>
    <t xml:space="preserve">  non-inferiority met: -1.34% vs. -1.26% at 52 weeks, reached 6.87% and 6.95%.</t>
  </si>
  <si>
    <t>45 minutes in range/day more than degludec</t>
  </si>
  <si>
    <t>Phase III "QWINT-2" insulin-naïve T2D - NCT05362058, EASD2024, NEJM</t>
  </si>
  <si>
    <t>9/4/24: EVA Pharma to produce baricitinib in low income countries.</t>
  </si>
  <si>
    <t>8/27/24: Zepbound supply increased with single-dose vials.</t>
  </si>
  <si>
    <t>Patent</t>
  </si>
  <si>
    <t>Title</t>
  </si>
  <si>
    <t>AT2R antagonist</t>
  </si>
  <si>
    <t>Notes</t>
  </si>
  <si>
    <t>AT.SUB.2.R antagonists and uses thereof</t>
  </si>
  <si>
    <t>Long acting amylin receptor agonists and uses thereof</t>
  </si>
  <si>
    <t>Amylin</t>
  </si>
  <si>
    <t>Diabetes, Obesity</t>
  </si>
  <si>
    <t>Treprostinil salt</t>
  </si>
  <si>
    <t>Prostacyclin</t>
  </si>
  <si>
    <t>5-HT1F agonist</t>
  </si>
  <si>
    <t>Processes and intermediate for the large-scale preparation of 2,4,6-trifluoro-N-[6-(1-methyl-piperidine-4-carbonyl)-pyridin-2-yl]-benzamide hemisuccinate, and preparation of 2,4,6-trifluoro-N-[6-(1-methyl-piperidine-4-carbonyl)-pyridin-2-yl]-benzamide acetate</t>
  </si>
  <si>
    <t>Fusion proteins</t>
  </si>
  <si>
    <t>7 (methylamino)pyrazolo[1,5-a]pyrimidine-3-carboxamide derivatives</t>
  </si>
  <si>
    <t>TYK2 antagonist</t>
  </si>
  <si>
    <t>lasmiditan for migraine</t>
  </si>
  <si>
    <t>Medication delivery device with sensing system</t>
  </si>
  <si>
    <t>Anti-CD137 antibodies for combination with anti-PD-L1 antibodies</t>
  </si>
  <si>
    <t>Medication injection system</t>
  </si>
  <si>
    <t>PAN-ELR+ CXC chemokine antibodies for the treatment of hidradenitis suppurativa</t>
  </si>
  <si>
    <t>AHR agonists</t>
  </si>
  <si>
    <t>System for controlling gas generation within a drug delivery device</t>
  </si>
  <si>
    <t>Medication delivery device with gear set dosage system</t>
  </si>
  <si>
    <t>Drug delivery systems including displaceable closures</t>
  </si>
  <si>
    <t>Disubstituted pyrazole compounds</t>
  </si>
  <si>
    <t>Selective estrogen receptor degraders</t>
  </si>
  <si>
    <t>IgG bispecific antibodies and processes for preparation</t>
  </si>
  <si>
    <t>Compounds and methods targeting interleukin-34</t>
  </si>
  <si>
    <t>RET kinase inhibitors</t>
  </si>
  <si>
    <t>Compounds useful for inhibiting RET kinase</t>
  </si>
  <si>
    <t>Medical delivery device with axially expandable drive ribbon</t>
  </si>
  <si>
    <t>Kisunla</t>
  </si>
  <si>
    <t>US</t>
  </si>
  <si>
    <t>Europe</t>
  </si>
  <si>
    <t>Japan</t>
  </si>
  <si>
    <t>ROW</t>
  </si>
  <si>
    <t>RET</t>
  </si>
  <si>
    <t>RET+ Cancer</t>
  </si>
  <si>
    <t>mevidalen</t>
  </si>
  <si>
    <t>Jaypirca</t>
  </si>
  <si>
    <t>Elunate</t>
  </si>
  <si>
    <t>12</t>
  </si>
  <si>
    <t>Competact</t>
  </si>
  <si>
    <t>Dymelor</t>
  </si>
  <si>
    <t>HumaPen</t>
  </si>
  <si>
    <t>Lyumjev</t>
  </si>
  <si>
    <t>Amyvid</t>
  </si>
  <si>
    <t>Promzar</t>
  </si>
  <si>
    <t>Tauvid</t>
  </si>
  <si>
    <t>Halpryza</t>
  </si>
  <si>
    <t>Vitrakvi</t>
  </si>
  <si>
    <t>Adcirca</t>
  </si>
  <si>
    <t>Rezvoglar</t>
  </si>
  <si>
    <t>Glyxambi</t>
  </si>
  <si>
    <t>Synjardy</t>
  </si>
  <si>
    <t>Jentadueto</t>
  </si>
  <si>
    <t>Phase III TRAILBLAZER-ALZ-6 - ARIA</t>
  </si>
  <si>
    <t>imlunestrant</t>
  </si>
  <si>
    <t>SERD</t>
  </si>
  <si>
    <t>5/2024: NexPharm acquisition for $925m: Pleasant Prairie, Wisconsin plant.</t>
  </si>
  <si>
    <t>1/7/25: JPM conference.</t>
  </si>
  <si>
    <t>12/23/24: comments on ITC ruling</t>
  </si>
  <si>
    <t>12/20/24: Zepbound approval for OSA.</t>
  </si>
  <si>
    <t>FDA approval 12/20/2024</t>
  </si>
  <si>
    <t>Obstructive Sleep Apnea (OSA)</t>
  </si>
  <si>
    <t>42% remission vs. 16% for placebo</t>
  </si>
  <si>
    <t>Phase III "SURMOUNT-OSA" 10mg or 15mg vs. placebo - NCT05412004</t>
  </si>
  <si>
    <t>12/17/24: Kinsula approved in China</t>
  </si>
  <si>
    <t>China approved 12/2024</t>
  </si>
  <si>
    <t>12/17/24: Partnership with Egyptian manufacturer for insulin.</t>
  </si>
  <si>
    <t>12/13/24: Omvoh recommended by CHMP for Crohn's.</t>
  </si>
  <si>
    <t>Mechanism of Action</t>
  </si>
  <si>
    <t>Omvoh, LY3074828</t>
  </si>
  <si>
    <t>p19 subunit antibody</t>
  </si>
  <si>
    <t>BLA 761279 FDA Approved 10/2023. Originally received a CRL 3/30/2023.</t>
  </si>
  <si>
    <t>Study I6T-MC-AMBG (AMBG) - SC maintenance q4w - 40 weeks</t>
  </si>
  <si>
    <t>Study I6T-MC-AMAN (AMAN) - IV induction q4w - 12 weeks</t>
  </si>
  <si>
    <t>Indications</t>
  </si>
  <si>
    <t>Crohn's disease FDA filed, PDUFA 1H25; CHMP recommended</t>
  </si>
  <si>
    <t>Ulcerative Colitis FDA approved 10/2023, EU approved 2023, Japan approved 2023</t>
  </si>
  <si>
    <t>Phase III "VIVID-1" vs. Stelara in Crohn's - Lancet</t>
  </si>
  <si>
    <t>oral SERD - continuous estrogen receptor inhibition even in ESR1 mutations</t>
  </si>
  <si>
    <t>Phase III "EMBER-3" - imlunestrant vs. SOC vs. imlunestrant-abemaciclib n=874 ER+ HER- aBC post-aromatase inhibitor - NEJM 2024, NCT04975308</t>
  </si>
  <si>
    <t>mPFS = 5.6 months for imlunestrant vs. 5.5 months for standard therapy, HR=0.87, p=0.12 - FAILURE</t>
  </si>
  <si>
    <t>mPFS = 9.4 months for combination, HR=0.57, p&lt;0.01</t>
  </si>
  <si>
    <t xml:space="preserve">  mPFS 5.5 months vs. 3.8 months in ESR1 mutation population, mOS 7.9mo vs. 5.4mo p&lt;0.001.</t>
  </si>
  <si>
    <t>LY3484356</t>
  </si>
  <si>
    <t>12/11/24: imlunestrant EMBER-3 results published in NEJM</t>
  </si>
  <si>
    <t>12/9/24: $15B buyback and dividend increase</t>
  </si>
  <si>
    <t>Phase III CLL-322 2L CLL piro+ven+ritux vs. veneto+ritux</t>
  </si>
  <si>
    <t>TTP 23.9 months vs. 10.9 months</t>
  </si>
  <si>
    <t>Phase III "CLL-321" n=238 2L SLL/CLL (previously treated with covalent BTK) vs. idelalisib+rituximab or bendamustine+rituximab</t>
  </si>
  <si>
    <t xml:space="preserve">  mPFS: 15.3 months vs. 9.2 months, HR=0.48</t>
  </si>
  <si>
    <t>12/9/24: Jaypirca BRUIN CLL-321 to be presented at ASH</t>
  </si>
  <si>
    <t>12/9/24: Kidney Health promotion.</t>
  </si>
  <si>
    <t>12/5/24: $3B expansion of Wisconsin facility.</t>
  </si>
  <si>
    <t>Manufacturing: Edgardo Hernandez</t>
  </si>
  <si>
    <t>12/4/24: Zepbound vs. Wegovy H2H results</t>
  </si>
  <si>
    <t>20.2% (50.3lbs) vs. 13.7% (33.1lbs) at 72 weeks</t>
  </si>
  <si>
    <t>Phase III "SURMOUNT-5" vs. Wegovy n=751 obesity without diabetes - NCT05822830</t>
  </si>
  <si>
    <t>FDA approval 5/13/2022</t>
  </si>
  <si>
    <t>FDA approved Zepbound 11/8/2023</t>
  </si>
  <si>
    <t>11/19/24: BOD changes</t>
  </si>
  <si>
    <t>11/18/24: muvalaplin Phase 2 results</t>
  </si>
  <si>
    <t>oral qd</t>
  </si>
  <si>
    <t>10mg, 60mg, 240mg LP(a)</t>
  </si>
  <si>
    <t xml:space="preserve">  85.8% placebo-adjusted reduction using intact LP(a) and 70% for apo(a)</t>
  </si>
  <si>
    <t>Diabetes &amp; Metabolic Research: Ruth Gimeno</t>
  </si>
  <si>
    <t>Lp(a)</t>
  </si>
  <si>
    <t>LY3473329</t>
  </si>
  <si>
    <t>Phase II 12-week "KRAKEN" n=233 high-risk cardiovascular - JAMA 2024, AHA 2024</t>
  </si>
  <si>
    <t>inhibits formation of LP(a) by blocking the apo(a) apo(b) interaction</t>
  </si>
  <si>
    <t>Reduction in cardiovascular events, 20% of US</t>
  </si>
  <si>
    <t>olpasiran (AMGN), lepodisiran (LLY)</t>
  </si>
  <si>
    <t>38% reduction in HF outcomes vs. placebo</t>
  </si>
  <si>
    <t xml:space="preserve">  9.9% vs. 15.3% for placebo</t>
  </si>
  <si>
    <t>Hospitalization: 3.3% vs. 7.1%, urgent visit: 1.4% vs. 3.3%</t>
  </si>
  <si>
    <t>CV death: 2.2% vs. 1.4% (wrong direction)</t>
  </si>
  <si>
    <t>Phase III "SUMMIT" n=731 HFpEF and obesity - NEJM 2024, AHA 2024 - NCT04847557</t>
  </si>
  <si>
    <t>Heart Failure</t>
  </si>
  <si>
    <t>filed with FDA/EMA</t>
  </si>
  <si>
    <t>11/16/24: tirzepatide HF "SUMMIT" results</t>
  </si>
  <si>
    <t>11/13/24: tirzepatide 176-week SURMOUNT-1 data</t>
  </si>
  <si>
    <t>11/5/24: ASH preview</t>
  </si>
  <si>
    <t>PC</t>
  </si>
  <si>
    <t>BAFFxCD3 bispecific</t>
  </si>
  <si>
    <t>Hematology</t>
  </si>
  <si>
    <t>LY4152199</t>
  </si>
  <si>
    <t>11/1/24: SABCS preview</t>
  </si>
  <si>
    <t>LY4045004</t>
  </si>
  <si>
    <t>PI3Ka inhibitor</t>
  </si>
  <si>
    <t>LOXO-783</t>
  </si>
  <si>
    <t>discontinued for LY4045004</t>
  </si>
  <si>
    <t>10/30/24: Q324 results</t>
  </si>
  <si>
    <t>Morphic Holding</t>
  </si>
  <si>
    <t>DICE Therapeutics</t>
  </si>
  <si>
    <t>Versanis Bio</t>
  </si>
  <si>
    <t>Emergence Therapeutics AG</t>
  </si>
  <si>
    <t>LY3372993</t>
  </si>
  <si>
    <t>amyloid-beta mab</t>
  </si>
  <si>
    <t>Phase I MAD - NCT04451408</t>
  </si>
  <si>
    <t>N3pG-amyloid-beta mab or N3pH</t>
  </si>
  <si>
    <t>Phase III "TRAILRUNNER-ALZ 1" n=1667 Alzheimer's - NCT05463731</t>
  </si>
  <si>
    <t>6 month treated resulted in 75% of patients having amyloid removal vs. 18 months for donanemab</t>
  </si>
  <si>
    <t>poor risk/reward</t>
  </si>
  <si>
    <t>PD-1 agonist</t>
  </si>
  <si>
    <t>discontinued</t>
  </si>
  <si>
    <t>DC-853</t>
  </si>
  <si>
    <t>Mounjaro, Zepbound, fka LY3298176</t>
  </si>
  <si>
    <t>Phase III "SURMOUNT-MMO" n=15374</t>
  </si>
  <si>
    <t>mazisotine</t>
  </si>
  <si>
    <t>LY3848575</t>
  </si>
  <si>
    <t>epiregulin mab</t>
  </si>
  <si>
    <t>LY3962681</t>
  </si>
  <si>
    <t>SNCA siRNA</t>
  </si>
  <si>
    <t>LY3962673</t>
  </si>
  <si>
    <t>KRAS G12D</t>
  </si>
  <si>
    <t>PNPLA3 siRNA</t>
  </si>
  <si>
    <t>MASH</t>
  </si>
  <si>
    <t>Nisotirostide (LY-3457263)</t>
  </si>
  <si>
    <t>PYY analog</t>
  </si>
  <si>
    <t>Wisconsin</t>
  </si>
  <si>
    <t>Indiana</t>
  </si>
  <si>
    <t>Macupatide (LY-3532226)</t>
  </si>
  <si>
    <t>long-acting GIPR agonist</t>
  </si>
  <si>
    <t>GIP/GLP-1 coagonist III</t>
  </si>
  <si>
    <t>APOC3 siRNA</t>
  </si>
  <si>
    <t>T2D</t>
  </si>
  <si>
    <t>insulin agonist</t>
  </si>
  <si>
    <t>DACRA qw</t>
  </si>
  <si>
    <t>FOLR1 ADC</t>
  </si>
  <si>
    <t>Nectin-4 ADC</t>
  </si>
  <si>
    <t>Immunology</t>
  </si>
  <si>
    <t>Neurodegeneration</t>
  </si>
  <si>
    <t>GLP-1R NPA</t>
  </si>
  <si>
    <t>mCRPC</t>
  </si>
  <si>
    <t>FGFR3</t>
  </si>
  <si>
    <t>PNT2001</t>
  </si>
  <si>
    <t>PSMA-225Ac</t>
  </si>
  <si>
    <t>MAPT siRNA</t>
  </si>
  <si>
    <t>SMARCA2</t>
  </si>
  <si>
    <t>SARM1 inhibitor</t>
  </si>
  <si>
    <t>SCAP siRNA</t>
  </si>
  <si>
    <t>itaconate mimetic</t>
  </si>
  <si>
    <t>LA-ANP</t>
  </si>
  <si>
    <t>9 to 13% weight loss at week 26 vs. 2% for placebo</t>
  </si>
  <si>
    <t>9 to 15% weight loss at week 36 vs 2% for placebo</t>
  </si>
  <si>
    <t>Phase II n=272 - NEJM 2023 - NCT05051579</t>
  </si>
  <si>
    <t>Phase III "ACHIEVE-5" n=520 T2D</t>
  </si>
  <si>
    <t>PE: week 40 HbA1C</t>
  </si>
  <si>
    <t>Phase III "ACHIEVE-2" vs. dapagliflozin n=888 T2D - NCT06192108</t>
  </si>
  <si>
    <t>Phase III "ACHIEVE-3" vs. semaglutide n=1576 T2D</t>
  </si>
  <si>
    <t>Phase III "ACHIEVE-4" vs. insulin glargine n=2749 T2D and overweight</t>
  </si>
  <si>
    <t>Phase III "ACHIEVE-1" n=520 T2D - NCT05971940</t>
  </si>
  <si>
    <t>Phase III "ATTAIN-2" n=x Obesity+T2D - NCT05872620</t>
  </si>
  <si>
    <t>Phase III "ATTAIN-1" n=1500 Obesity vs. placebo - NCT05869903</t>
  </si>
  <si>
    <t>oral GLP-1</t>
  </si>
  <si>
    <t>Type 2 diabetes</t>
  </si>
  <si>
    <t>triple agonist</t>
  </si>
  <si>
    <t>GIPR, GLP-1, glucagon receptor agonist</t>
  </si>
  <si>
    <t>1mg -7%, 4mg -13%, 8mg -17%, 12mg -18%, placebo -2% at 24 weeks</t>
  </si>
  <si>
    <t>1mg -9%, 4mg -17%, 8mg -23%, 12mg -24%, placebo -2% at 48 weeks</t>
  </si>
  <si>
    <t>Phase II n=338 - NEJM 2023 - NCT04881760</t>
  </si>
  <si>
    <t>Phase III "TRIUMPH-5" vs. tirzepatide n=800 obesity - NCT06662383</t>
  </si>
  <si>
    <t>Phase III "TRANSCEND-T2D-3" n=320 T2D vs. placebo - NCT06297603</t>
  </si>
  <si>
    <t>Phase III "TRANSCEND-T2D-1" n=480 T2D vs. placebo - NCT06354660</t>
  </si>
  <si>
    <t>Phase III "TRANSCEND-T2D-2" n=1250 T2D vs. semaglutide - NCT06260722</t>
  </si>
  <si>
    <t>Phase III "TRIUMPH-1" vs placebo n=2300 obesity - NCT05929066</t>
  </si>
  <si>
    <t>enrollment completed, 80 week primary endpoint</t>
  </si>
  <si>
    <t>Phase III "TRIUMPH-3" vs. placebo n=1800 obesity - NCT05882045</t>
  </si>
  <si>
    <t>subcutaneous qw</t>
  </si>
  <si>
    <t>Phase III "TRIUMPH-Outcomes" n=10000 obesity - NCT06383390</t>
  </si>
  <si>
    <t>Phase III "TRIUMPH-2" vs. placebo n=1000 obesity - NCT05929079</t>
  </si>
  <si>
    <t>Phase III "TRIUMPH-4" vs. placebo n=405 obesity with OA - NCT05931367</t>
  </si>
  <si>
    <t>AMGN</t>
  </si>
  <si>
    <t>Protein tyrosine-tyrosine analogs and methods of using the same</t>
  </si>
  <si>
    <t>GIP/GLP1 co-agonist compounds</t>
  </si>
  <si>
    <t>GLP-1, Glucagon Receptor agonist</t>
  </si>
  <si>
    <t>once-weekly</t>
  </si>
  <si>
    <t>fka IBI362, LY3305677</t>
  </si>
  <si>
    <t>oxyntomodulin analog with fatty acid chain</t>
  </si>
  <si>
    <t>Phase II n=248 China 24-week obesity. Nat Comm 2023</t>
  </si>
  <si>
    <t>Innovent has Chinese rights</t>
  </si>
  <si>
    <t xml:space="preserve">LY3537021 </t>
  </si>
  <si>
    <t>YAEGTFISDY SILLDKKHQA DFVEXLLEAG PSSGAPPPS - not 12252524</t>
  </si>
  <si>
    <t>Number</t>
  </si>
  <si>
    <t>n</t>
  </si>
  <si>
    <t>eloralintide (LY3841136)</t>
  </si>
  <si>
    <t>Healthy</t>
  </si>
  <si>
    <t>LY4100511 (DC-853)</t>
  </si>
  <si>
    <t>lepodisiran (LY3819469)</t>
  </si>
  <si>
    <t>tirzepatide (LY3298176)</t>
  </si>
  <si>
    <t>T1D</t>
  </si>
  <si>
    <t>Down</t>
  </si>
  <si>
    <t>IV</t>
  </si>
  <si>
    <t>LAE102</t>
  </si>
  <si>
    <t>galcanezumab</t>
  </si>
  <si>
    <t>Post-Traumatic Headache</t>
  </si>
  <si>
    <t>LY4064809 (STX-478)</t>
  </si>
  <si>
    <t>bimagrumab (LY3985863)</t>
  </si>
  <si>
    <t>LY3457263</t>
  </si>
  <si>
    <t>olomorasib (LY3537982)</t>
  </si>
  <si>
    <t>G12C NSCLC</t>
  </si>
  <si>
    <t>CLL/SLL, NHL</t>
  </si>
  <si>
    <t>pirtobrutinib (LY3527727)</t>
  </si>
  <si>
    <t>LY3549492</t>
  </si>
  <si>
    <t>Sarcoidosis</t>
  </si>
  <si>
    <t>Psoriatic Arthritis</t>
  </si>
  <si>
    <t>Pouchitis</t>
  </si>
  <si>
    <t>LY3541860</t>
  </si>
  <si>
    <t>Date</t>
  </si>
  <si>
    <t>retatrutide (LY3437943)</t>
  </si>
  <si>
    <t>cetuximab</t>
  </si>
  <si>
    <t>HNSCC</t>
  </si>
  <si>
    <t>Binge Eating</t>
  </si>
  <si>
    <t>abemaciclib</t>
  </si>
  <si>
    <t>ccRCC</t>
  </si>
  <si>
    <t>I/II</t>
  </si>
  <si>
    <t>Alcohol Use Disorder</t>
  </si>
  <si>
    <t>CLL</t>
  </si>
  <si>
    <t>TNG456</t>
  </si>
  <si>
    <t>Solid Tumors</t>
  </si>
  <si>
    <t>LY4006896</t>
  </si>
  <si>
    <t>S011806, DC-806, LY4100504</t>
  </si>
  <si>
    <t>Alopecia</t>
  </si>
  <si>
    <t>dulaglutide (LY2189265)</t>
  </si>
  <si>
    <t>ITP</t>
  </si>
  <si>
    <t>LY4060874</t>
  </si>
  <si>
    <t>AAVAnc80-hOTOF</t>
  </si>
  <si>
    <t>Hearing Loss</t>
  </si>
  <si>
    <t>LTFU</t>
  </si>
  <si>
    <t>UC</t>
  </si>
  <si>
    <t>LY4005130</t>
  </si>
  <si>
    <t>orforglipron (LY3502970)</t>
  </si>
  <si>
    <t>adolescents</t>
  </si>
  <si>
    <t>vs. tirzepatide</t>
  </si>
  <si>
    <t>LY4006895</t>
  </si>
  <si>
    <t>Alzheimer</t>
  </si>
  <si>
    <t>remternetug (LY3372993)</t>
  </si>
  <si>
    <t>OSA</t>
  </si>
  <si>
    <t>II/III</t>
  </si>
  <si>
    <t>14C-LY3866288</t>
  </si>
  <si>
    <t>LY3866288</t>
  </si>
  <si>
    <t>Ramadan</t>
  </si>
  <si>
    <t>LY4066434</t>
  </si>
  <si>
    <t>KRAS Solid Tumors</t>
  </si>
  <si>
    <t>LY3537031</t>
  </si>
  <si>
    <t>CKD</t>
  </si>
  <si>
    <t>terminated</t>
  </si>
  <si>
    <t>Ovarian</t>
  </si>
  <si>
    <t>LY4065967</t>
  </si>
  <si>
    <t>LY3841136</t>
  </si>
  <si>
    <t>Polyneuropathy</t>
  </si>
  <si>
    <t>LY3002813 (donanemab)</t>
  </si>
  <si>
    <t>Real-World</t>
  </si>
  <si>
    <t>LY4050784</t>
  </si>
  <si>
    <t>LY3532226</t>
  </si>
  <si>
    <t>R/R MCL</t>
  </si>
  <si>
    <t>mevidalen (LY3154207)</t>
  </si>
  <si>
    <t>subcutaneous pump</t>
  </si>
  <si>
    <t>N/A</t>
  </si>
  <si>
    <t>AAVAnc80-antiVEGF</t>
  </si>
  <si>
    <t>Vestibular Schwannoma</t>
  </si>
  <si>
    <t>azelaprag (BGE-105)</t>
  </si>
  <si>
    <t>LY4052031</t>
  </si>
  <si>
    <t>selpercatinib</t>
  </si>
  <si>
    <t>Thyroid Cancer</t>
  </si>
  <si>
    <t>Glioma</t>
  </si>
  <si>
    <t>LY4170156</t>
  </si>
  <si>
    <t>LY3985297</t>
  </si>
  <si>
    <t>MZL</t>
  </si>
  <si>
    <t>ASCVD</t>
  </si>
  <si>
    <t>mibavademab (REGN4461)</t>
  </si>
  <si>
    <t>LY900014</t>
  </si>
  <si>
    <t>India</t>
  </si>
  <si>
    <t>mTNBC</t>
  </si>
  <si>
    <t>Endometrial Cancer</t>
  </si>
  <si>
    <t>LY3209590</t>
  </si>
  <si>
    <t>pediatric</t>
  </si>
  <si>
    <t>plozasiran (ARO-APOC3)</t>
  </si>
  <si>
    <t>Hypertriglyceridemia</t>
  </si>
  <si>
    <t>Amylin agonist</t>
  </si>
  <si>
    <t>amylin agonist</t>
  </si>
  <si>
    <t>NPY agonist</t>
  </si>
  <si>
    <t>Activin mab</t>
  </si>
  <si>
    <t>oral GLP-1?</t>
  </si>
  <si>
    <t>GLP-1R agonist</t>
  </si>
  <si>
    <t>$50m upfront to Chugai. Created with ConfometRx</t>
  </si>
  <si>
    <t>oral agonist</t>
  </si>
  <si>
    <t>Total $</t>
  </si>
  <si>
    <t>q/q</t>
  </si>
  <si>
    <t>cap</t>
  </si>
  <si>
    <t>Q Total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</si>
</sst>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%"/>
    <numFmt numFmtId="165" formatCode="0.0"/>
  </numFmts>
  <fonts count="20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 tint="-0.14999847407452621"/>
      <name val="Arial"/>
      <family val="2"/>
    </font>
    <font>
      <i/>
      <sz val="10"/>
      <color theme="0" tint="-0.34998626667073579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</cellStyleXfs>
  <cellXfs count="13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  <xf numFmtId="9" fontId="4" fillId="2" borderId="0" xfId="0" applyNumberFormat="1" applyFont="1" applyFill="1" applyAlignment="1">
      <alignment horizontal="left"/>
    </xf>
    <xf numFmtId="14" fontId="4" fillId="2" borderId="0" xfId="0" applyNumberFormat="1" applyFont="1" applyFill="1" applyAlignment="1">
      <alignment horizontal="center"/>
    </xf>
    <xf numFmtId="14" fontId="0" fillId="2" borderId="7" xfId="0" applyNumberFormat="1" applyFill="1" applyBorder="1" applyAlignment="1">
      <alignment horizontal="center"/>
    </xf>
    <xf numFmtId="14" fontId="0" fillId="0" borderId="0" xfId="0" applyNumberFormat="1"/>
    <xf numFmtId="3" fontId="4" fillId="0" borderId="0" xfId="2" applyNumberFormat="1" applyFont="1" applyFill="1" applyBorder="1" applyAlignment="1">
      <alignment horizontal="right"/>
    </xf>
    <xf numFmtId="3" fontId="8" fillId="0" borderId="0" xfId="0" applyNumberFormat="1" applyFont="1"/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0" borderId="0" xfId="0" applyNumberFormat="1"/>
    <xf numFmtId="3" fontId="8" fillId="0" borderId="0" xfId="0" applyNumberFormat="1" applyFont="1" applyAlignment="1">
      <alignment horizontal="right"/>
    </xf>
    <xf numFmtId="3" fontId="4" fillId="0" borderId="0" xfId="0" quotePrefix="1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4" fillId="0" borderId="0" xfId="0" applyNumberFormat="1" applyFont="1"/>
    <xf numFmtId="3" fontId="0" fillId="3" borderId="0" xfId="0" applyNumberFormat="1" applyFill="1" applyAlignment="1">
      <alignment horizontal="right"/>
    </xf>
    <xf numFmtId="3" fontId="0" fillId="3" borderId="0" xfId="0" applyNumberFormat="1" applyFill="1"/>
    <xf numFmtId="0" fontId="0" fillId="3" borderId="0" xfId="0" applyFill="1" applyAlignment="1">
      <alignment horizontal="right"/>
    </xf>
    <xf numFmtId="0" fontId="16" fillId="3" borderId="0" xfId="0" applyFont="1" applyFill="1" applyAlignment="1">
      <alignment horizontal="right"/>
    </xf>
    <xf numFmtId="3" fontId="16" fillId="3" borderId="0" xfId="0" applyNumberFormat="1" applyFont="1" applyFill="1" applyAlignment="1">
      <alignment horizontal="right"/>
    </xf>
    <xf numFmtId="0" fontId="0" fillId="3" borderId="0" xfId="0" applyFill="1"/>
    <xf numFmtId="0" fontId="4" fillId="3" borderId="0" xfId="0" applyFont="1" applyFill="1" applyAlignment="1">
      <alignment horizontal="right"/>
    </xf>
    <xf numFmtId="3" fontId="15" fillId="3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0" fontId="4" fillId="3" borderId="0" xfId="0" applyFont="1" applyFill="1"/>
    <xf numFmtId="0" fontId="3" fillId="3" borderId="0" xfId="0" applyFont="1" applyFill="1"/>
    <xf numFmtId="2" fontId="3" fillId="3" borderId="0" xfId="0" applyNumberFormat="1" applyFont="1" applyFill="1"/>
    <xf numFmtId="4" fontId="0" fillId="0" borderId="0" xfId="0" applyNumberFormat="1"/>
    <xf numFmtId="0" fontId="4" fillId="0" borderId="0" xfId="0" quotePrefix="1" applyFont="1"/>
    <xf numFmtId="3" fontId="0" fillId="4" borderId="0" xfId="0" applyNumberFormat="1" applyFill="1" applyAlignment="1">
      <alignment horizontal="right"/>
    </xf>
    <xf numFmtId="0" fontId="3" fillId="2" borderId="5" xfId="0" applyFont="1" applyFill="1" applyBorder="1" applyAlignment="1">
      <alignment horizontal="center"/>
    </xf>
    <xf numFmtId="0" fontId="4" fillId="2" borderId="4" xfId="0" quotePrefix="1" applyFont="1" applyFill="1" applyBorder="1"/>
    <xf numFmtId="0" fontId="1" fillId="0" borderId="0" xfId="1" applyFill="1" applyBorder="1" applyAlignment="1" applyProtection="1"/>
    <xf numFmtId="14" fontId="0" fillId="0" borderId="0" xfId="0" applyNumberFormat="1" applyAlignment="1">
      <alignment horizontal="center"/>
    </xf>
    <xf numFmtId="14" fontId="4" fillId="0" borderId="0" xfId="0" applyNumberFormat="1" applyFont="1"/>
    <xf numFmtId="0" fontId="4" fillId="0" borderId="0" xfId="0" quotePrefix="1" applyFont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14" fontId="8" fillId="0" borderId="0" xfId="0" applyNumberFormat="1" applyFont="1"/>
    <xf numFmtId="0" fontId="3" fillId="0" borderId="0" xfId="0" applyFont="1" applyAlignment="1">
      <alignment horizontal="left"/>
    </xf>
    <xf numFmtId="14" fontId="3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Font="1"/>
    <xf numFmtId="14" fontId="17" fillId="0" borderId="0" xfId="0" applyNumberFormat="1" applyFont="1"/>
    <xf numFmtId="0" fontId="18" fillId="2" borderId="4" xfId="1" applyFont="1" applyFill="1" applyBorder="1" applyAlignment="1" applyProtection="1"/>
    <xf numFmtId="0" fontId="3" fillId="2" borderId="0" xfId="0" applyFont="1" applyFill="1" applyAlignment="1">
      <alignment horizontal="center"/>
    </xf>
    <xf numFmtId="9" fontId="3" fillId="2" borderId="0" xfId="0" applyNumberFormat="1" applyFont="1" applyFill="1" applyAlignment="1">
      <alignment horizontal="center"/>
    </xf>
    <xf numFmtId="14" fontId="5" fillId="0" borderId="0" xfId="0" applyNumberFormat="1" applyFont="1" applyAlignment="1">
      <alignment horizontal="right"/>
    </xf>
    <xf numFmtId="17" fontId="0" fillId="0" borderId="0" xfId="0" applyNumberFormat="1" applyAlignment="1">
      <alignment horizontal="left"/>
    </xf>
    <xf numFmtId="9" fontId="8" fillId="0" borderId="0" xfId="0" applyNumberFormat="1" applyFont="1"/>
    <xf numFmtId="9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</cellXfs>
  <cellStyles count="3">
    <cellStyle name="Comma" xfId="2" builtinId="3"/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123</xdr:col>
      <xdr:colOff>70956</xdr:colOff>
      <xdr:row>0</xdr:row>
      <xdr:rowOff>0</xdr:rowOff>
    </xdr:from>
    <xdr:to>
      <xdr:col>123</xdr:col>
      <xdr:colOff>70956</xdr:colOff>
      <xdr:row>165</xdr:row>
      <xdr:rowOff>13137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59637585" y="0"/>
          <a:ext cx="0" cy="269552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167</xdr:col>
      <xdr:colOff>9387</xdr:colOff>
      <xdr:row>0</xdr:row>
      <xdr:rowOff>0</xdr:rowOff>
    </xdr:from>
    <xdr:to>
      <xdr:col>167</xdr:col>
      <xdr:colOff>9387</xdr:colOff>
      <xdr:row>153</xdr:row>
      <xdr:rowOff>86179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79870300" y="0"/>
          <a:ext cx="0" cy="2543096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493936</xdr:colOff>
      <xdr:row>2</xdr:row>
      <xdr:rowOff>1</xdr:rowOff>
    </xdr:from>
    <xdr:to>
      <xdr:col>15</xdr:col>
      <xdr:colOff>385481</xdr:colOff>
      <xdr:row>20</xdr:row>
      <xdr:rowOff>31937</xdr:rowOff>
    </xdr:to>
    <xdr:pic>
      <xdr:nvPicPr>
        <xdr:cNvPr id="2" name="Picture 1" descr="undefined">
          <a:extLst>
            <a:ext uri="{FF2B5EF4-FFF2-40B4-BE49-F238E27FC236}">
              <a16:creationId xmlns:a16="http://schemas.microsoft.com/office/drawing/2014/main" id="{6E31FA17-B85A-E736-B1AE-984CB9F6D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1554" y="313766"/>
          <a:ext cx="3522251" cy="28558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88698</xdr:colOff>
      <xdr:row>2</xdr:row>
      <xdr:rowOff>88091</xdr:rowOff>
    </xdr:from>
    <xdr:to>
      <xdr:col>13</xdr:col>
      <xdr:colOff>96100</xdr:colOff>
      <xdr:row>15</xdr:row>
      <xdr:rowOff>20085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0CCAB1-53F6-B446-9CC4-EAF62E66C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3225" y="412456"/>
          <a:ext cx="3055402" cy="2040365"/>
        </a:xfrm>
        <a:prstGeom prst="rect">
          <a:avLst/>
        </a:prstGeom>
      </xdr:spPr>
    </xdr:pic>
    <xdr:clientData/>
  </xdr:twoCellAnchor>
  <xdr:twoCellAnchor editAs="oneCell">
    <xdr:from>
      <xdr:col>7</xdr:col>
      <xdr:colOff>180919</xdr:colOff>
      <xdr:row>29</xdr:row>
      <xdr:rowOff>134903</xdr:rowOff>
    </xdr:from>
    <xdr:to>
      <xdr:col>20</xdr:col>
      <xdr:colOff>319073</xdr:colOff>
      <xdr:row>72</xdr:row>
      <xdr:rowOff>62965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42719F-59EB-7FCB-483B-93468CF11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316" y="4733179"/>
          <a:ext cx="10044154" cy="6989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4-10-26T16:12:01.38" personId="{13399233-BA81-4949-9BE8-57EDDD85014C}" id="{1F76061C-BD48-491B-9F77-B9D61754AAF7}">
    <text>LLY reports royalties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N5" dT="2024-02-27T00:19:09.68" personId="{13399233-BA81-4949-9BE8-57EDDD85014C}" id="{305C25D8-EC5F-F64B-B9EB-E27AF5972BCF}">
    <text>Supply constrained</text>
  </threadedComment>
  <threadedComment ref="FA5" dT="2024-10-03T20:00:28.15" personId="{13399233-BA81-4949-9BE8-57EDDD85014C}" id="{18EDECF3-07E9-E64C-BB5F-7F8C1AE658D1}">
    <text>FDA approval 9/18/2014</text>
  </threadedComment>
  <threadedComment ref="DH6" dT="2024-10-03T20:04:15.51" personId="{13399233-BA81-4949-9BE8-57EDDD85014C}" id="{D110C76F-F305-4B4E-81AC-1163B81E3DFE}">
    <text>5/13/2022 FDA approval</text>
  </threadedComment>
  <threadedComment ref="DN6" dT="2024-02-27T00:21:21.87" personId="{13399233-BA81-4949-9BE8-57EDDD85014C}" id="{F08151EC-4522-254D-A6CF-DBB4C58C9479}">
    <text xml:space="preserve">One-time benefit for change in rebate estimates. Revenue would have been ~$300m less! </text>
  </threadedComment>
  <threadedComment ref="DP6" dT="2024-10-26T16:04:30.31" personId="{13399233-BA81-4949-9BE8-57EDDD85014C}" id="{1937C492-D834-4154-B8C8-936B5D41C8E5}">
    <text>Stocking high teens-mid-20s% of US revenue of 7.84B = 1.4B stocking!</text>
  </threadedComment>
  <threadedComment ref="DQ6" dT="2025-01-12T02:41:19.29" personId="{13399233-BA81-4949-9BE8-57EDDD85014C}" id="{B3CB3BC7-46DB-4F09-9BCB-13F546853080}">
    <text>Destocking impacted combined sales by MSD of combined US sales</text>
  </threadedComment>
  <threadedComment ref="FI6" dT="2024-10-03T20:01:17.49" personId="{13399233-BA81-4949-9BE8-57EDDD85014C}" id="{B6EB371A-0A56-AB4A-ABD9-92DAC5F36509}">
    <text>FDA approval 5/13/2022</text>
  </threadedComment>
  <threadedComment ref="DN7" dT="2024-10-03T20:03:54.28" personId="{13399233-BA81-4949-9BE8-57EDDD85014C}" id="{A9BC4FE8-80DC-7A41-916B-FD3A3AC43432}">
    <text>11/8/2023 FDA approval</text>
  </threadedComment>
  <threadedComment ref="FJ7" dT="2024-10-03T20:01:33.13" personId="{13399233-BA81-4949-9BE8-57EDDD85014C}" id="{1F40E5FC-CF54-AC45-BC0B-9404824FFEE4}">
    <text>FDA approval 11/8/2023</text>
  </threadedComment>
  <threadedComment ref="FG10" dT="2024-10-03T21:25:52.29" personId="{13399233-BA81-4949-9BE8-57EDDD85014C}" id="{7094BEE2-B255-6946-B53D-312828A0E8FE}">
    <text>bamlanivimab EUA 11/9/2020</text>
  </threadedComment>
  <threadedComment ref="FI10" dT="2024-10-03T21:24:06.45" personId="{13399233-BA81-4949-9BE8-57EDDD85014C}" id="{4711E078-60E3-A24C-B7C8-30E07B67A17D}">
    <text>bebtelovimab approved 2/11/22</text>
  </threadedComment>
  <threadedComment ref="CJ11" dT="2024-10-03T20:02:17.68" personId="{13399233-BA81-4949-9BE8-57EDDD85014C}" id="{2AB795EB-C43C-DF4A-B48D-CE2A18193A70}">
    <text>3/22/16 FDA approval</text>
  </threadedComment>
  <threadedComment ref="FC11" dT="2024-10-03T20:07:54.37" personId="{13399233-BA81-4949-9BE8-57EDDD85014C}" id="{298B0D48-B580-7140-B810-8C16E6EEE655}">
    <text>FDA approval 3/2016</text>
  </threadedComment>
  <threadedComment ref="CP12" dT="2024-10-03T20:03:04.11" personId="{13399233-BA81-4949-9BE8-57EDDD85014C}" id="{BFDA6941-6E61-D14F-960B-69FE7FDBB07D}">
    <text>9/28/2017 FDA approval</text>
  </threadedComment>
  <threadedComment ref="FD12" dT="2024-10-03T20:08:07.91" personId="{13399233-BA81-4949-9BE8-57EDDD85014C}" id="{94562225-C4CE-0C4D-A578-B06EF230FD49}">
    <text>FDA approval 9/2017</text>
  </threadedComment>
  <threadedComment ref="EI15" dT="2025-04-12T00:04:07.81" personId="{13399233-BA81-4949-9BE8-57EDDD85014C}" id="{B5A7069E-AFA2-4927-B60D-9C441412B492}">
    <text>6/14/1996 - FDA approval</text>
  </threadedComment>
  <threadedComment ref="EQ16" dT="2025-04-12T00:08:14.60" personId="{13399233-BA81-4949-9BE8-57EDDD85014C}" id="{B8E5B058-4D76-41AB-AF1D-EE9BDB79C8F1}">
    <text>8/19/2004 approval</text>
  </threadedComment>
  <threadedComment ref="FE19" dT="2024-10-03T20:08:52.60" personId="{13399233-BA81-4949-9BE8-57EDDD85014C}" id="{FC3313FA-6E66-F54B-BE29-1B33FA52BFD4}">
    <text>5/31/2018 FDA approval</text>
  </threadedComment>
  <threadedComment ref="FA20" dT="2024-10-03T20:10:01.58" personId="{13399233-BA81-4949-9BE8-57EDDD85014C}" id="{1462D965-411F-AB4E-9A9C-0EBC71E25E0E}">
    <text>4/21/2014 FDA approval</text>
  </threadedComment>
  <threadedComment ref="EP21" dT="2024-10-03T20:12:18.02" personId="{13399233-BA81-4949-9BE8-57EDDD85014C}" id="{446C103B-2230-B14A-A972-079F64690778}">
    <text>FDA approval 11/21/2003</text>
  </threadedComment>
  <threadedComment ref="FB22" dT="2024-10-03T20:09:24.44" personId="{13399233-BA81-4949-9BE8-57EDDD85014C}" id="{E533C1B4-8234-9040-8B49-186CC437E345}">
    <text>12/16/2015 FDA approval</text>
  </threadedComment>
  <threadedComment ref="DH29" dT="2024-08-25T17:26:15.56" personId="{13399233-BA81-4949-9BE8-57EDDD85014C}" id="{8F4CD8C8-C5AD-42CC-9BCE-BBE94D1E731F}">
    <text>Sold to Cheplapharm</text>
  </threadedComment>
  <threadedComment ref="DK29" dT="2024-08-25T21:12:48.93" personId="{13399233-BA81-4949-9BE8-57EDDD85014C}" id="{F4F327C3-D382-4618-9A25-20A26153AC90}">
    <text>Not in 10-Q</text>
  </threadedComment>
  <threadedComment ref="DL29" dT="2024-08-25T21:13:23.65" personId="{13399233-BA81-4949-9BE8-57EDDD85014C}" id="{86E2D938-06E9-45D6-B748-F134DEE4AE39}">
    <text>Not in 10-Q</text>
  </threadedComment>
  <threadedComment ref="DM29" dT="2024-08-25T18:32:00.35" personId="{13399233-BA81-4949-9BE8-57EDDD85014C}" id="{AC99C3F7-4BA9-45D9-94D4-E0C841BBA79A}">
    <text>Sold to Cheplapharm for 1.4B</text>
  </threadedComment>
  <threadedComment ref="DB32" dT="2022-08-02T13:03:18.23" personId="{13399233-BA81-4949-9BE8-57EDDD85014C}" id="{C53B26C9-8602-47A2-80EC-A28651A52E20}">
    <text>359m as per 2021 10-K</text>
  </threadedComment>
  <threadedComment ref="DF32" dT="2022-08-01T18:27:07.85" personId="{13399233-BA81-4949-9BE8-57EDDD85014C}" id="{63959650-84D7-46CF-829F-FD9E350BCC20}">
    <text>372.5m</text>
  </threadedComment>
  <threadedComment ref="DL35" dT="2024-08-25T17:29:33.54" personId="{13399233-BA81-4949-9BE8-57EDDD85014C}" id="{5CD0ABE8-7806-4ECB-8790-D95D213DFB7E}">
    <text>Sold to Amphastar for 625m</text>
  </threadedComment>
  <threadedComment ref="DP35" dT="2024-10-26T18:38:16.20" personId="{13399233-BA81-4949-9BE8-57EDDD85014C}" id="{DBBA6220-959D-47BC-90CF-6DB764B198F0}">
    <text>12.4m?</text>
  </threadedComment>
  <threadedComment ref="DQ40" dT="2024-11-04T17:11:24.64" personId="{13399233-BA81-4949-9BE8-57EDDD85014C}" id="{FC35742F-78AD-4CF0-B81E-A497B85C76DA}">
    <text>Not launched in US</text>
  </threadedComment>
  <threadedComment ref="DD41" dT="2022-08-02T13:15:28.62" personId="{13399233-BA81-4949-9BE8-57EDDD85014C}" id="{A9214E8B-BB63-4C5A-81B6-161440AC7FDE}">
    <text>last quarter of Qbrexza</text>
  </threadedComment>
  <threadedComment ref="EM53" dT="2024-10-03T20:17:21.70" personId="{13399233-BA81-4949-9BE8-57EDDD85014C}" id="{C66F5119-A7C1-5741-A5D9-2B573CE6D33E}">
    <text>Includes Sarafem sales of 14.6m</text>
  </threadedComment>
  <threadedComment ref="EO53" dT="2024-10-03T21:00:28.39" personId="{13399233-BA81-4949-9BE8-57EDDD85014C}" id="{D94A1F2D-0D94-A840-8ACB-E2C95F3F4C07}">
    <text>Also had 656, maybe didn’t include weekly &amp; sarafem?</text>
  </threadedComment>
  <threadedComment ref="CU71" dT="2024-08-26T00:48:52.06" personId="{13399233-BA81-4949-9BE8-57EDDD85014C}" id="{F6E279B7-B537-4FD2-9F94-8042A4D12872}">
    <text>5,092</text>
  </threadedComment>
  <threadedComment ref="CY71" dT="2022-08-01T19:29:14.28" personId="{13399233-BA81-4949-9BE8-57EDDD85014C}" id="{E60352B4-4A0D-4646-997E-29633AD2D222}">
    <text>5859.8m reported revenue</text>
  </threadedComment>
  <threadedComment ref="CZ71" dT="2022-08-01T19:13:29.91" personId="{13399233-BA81-4949-9BE8-57EDDD85014C}" id="{D23219C3-585B-4401-96E4-A54AA852CF63}">
    <text>5499.4m reported revenue</text>
  </threadedComment>
  <threadedComment ref="DA71" dT="2022-08-01T19:08:14.14" personId="{13399233-BA81-4949-9BE8-57EDDD85014C}" id="{A2E464E0-CBDF-4ECE-9C4E-FC1B4BA053F8}">
    <text>5740.6 reported revenue</text>
  </threadedComment>
  <threadedComment ref="DB71" dT="2022-08-01T18:51:30.86" personId="{13399233-BA81-4949-9BE8-57EDDD85014C}" id="{F1B0E7D4-F86C-4460-9BB2-30549C72BA4D}">
    <text>7440.0 actual reported</text>
  </threadedComment>
  <threadedComment ref="DC71" dT="2022-08-01T19:28:46.54" personId="{13399233-BA81-4949-9BE8-57EDDD85014C}" id="{27F9AA8E-4F00-4838-B3AE-5C359EA80361}">
    <text>6805.6 reported</text>
  </threadedComment>
  <threadedComment ref="DD71" dT="2022-08-01T19:13:16.67" personId="{13399233-BA81-4949-9BE8-57EDDD85014C}" id="{AFC9B85C-9AC1-4E0B-A0FD-4EC0747D6C85}">
    <text>6740 reported revenue</text>
  </threadedComment>
  <threadedComment ref="DE71" dT="2022-08-01T19:08:01.93" personId="{13399233-BA81-4949-9BE8-57EDDD85014C}" id="{3630D8DA-CEAE-49F9-B57E-A7443096F4CE}">
    <text>6772.8 reported revenue</text>
  </threadedComment>
  <threadedComment ref="DF71" dT="2022-08-01T18:31:56.86" personId="{13399233-BA81-4949-9BE8-57EDDD85014C}" id="{D7A857CD-B43A-4E52-BA69-3F839DE07274}">
    <text>Actual reported 7999.9</text>
  </threadedComment>
  <threadedComment ref="DL71" dT="2023-10-23T04:05:00.50" personId="{13399233-BA81-4949-9BE8-57EDDD85014C}" id="{7F77C49B-1A2C-41FA-8A63-291465846371}">
    <text>Excluding Baqsimi sale of 579m.
Reported 8312.1m</text>
  </threadedComment>
  <threadedComment ref="DN71" dT="2024-02-26T23:55:47.20" personId="{13399233-BA81-4949-9BE8-57EDDD85014C}" id="{E9AE85F5-95A1-1746-8695-2448A65CBE0D}">
    <text>$65m one-time milestone for Ebglyss launch.</text>
  </threadedComment>
  <threadedComment ref="DT71" dT="2025-05-06T13:01:02.35" personId="{13399233-BA81-4949-9BE8-57EDDD85014C}" id="{B67FF5F6-4925-4D70-814B-74FF0F7F0FA5}">
    <text>5/6/25 consensus: 14320
8/4/25 consensus: 14700</text>
  </threadedComment>
  <threadedComment ref="DU71" dT="2025-05-06T13:01:18.51" personId="{13399233-BA81-4949-9BE8-57EDDD85014C}" id="{E043D6AB-AC34-4707-B240-064C416613ED}">
    <text>5/6/25 consensus: 15370m
8/4/25 consensus: 15540m</text>
  </threadedComment>
  <threadedComment ref="DV71" dT="2025-05-06T13:01:35.43" personId="{13399233-BA81-4949-9BE8-57EDDD85014C}" id="{F1C29320-A832-47FE-9610-B0BA8742EEFB}">
    <text>5/6/25 consensus: 17080m
8/4/25 consensus: 17240m</text>
  </threadedComment>
  <threadedComment ref="FJ71" dT="2024-02-27T00:16:20.93" personId="{13399233-BA81-4949-9BE8-57EDDD85014C}" id="{44F04AEB-60ED-E244-B275-73D80CAB84D6}">
    <text>34124m actual</text>
  </threadedComment>
  <threadedComment ref="FK71" dT="2024-02-22T18:16:29.86" personId="{13399233-BA81-4949-9BE8-57EDDD85014C}" id="{DCF6DE87-1143-A848-8919-609B3D10ACF2}">
    <text>Q423 guidance: 40.4-41.6
Q224 guidance: 45.4-46.6B
Q324 guidance: 45.4-46.0B</text>
  </threadedComment>
  <threadedComment ref="DC81" dT="2022-08-01T18:07:16.89" personId="{13399233-BA81-4949-9BE8-57EDDD85014C}" id="{00F4491F-C819-44C1-AC45-2ABA1B7BE593}">
    <text>actual adjusted 1465.5</text>
  </threadedComment>
  <threadedComment ref="DG81" dT="2022-08-01T18:06:59.44" personId="{13399233-BA81-4949-9BE8-57EDDD85014C}" id="{8874A794-CB8F-4280-B6A0-27B01371D863}">
    <text>actual adjusted 2372.8</text>
  </threadedComment>
  <threadedComment ref="DJ81" dT="2024-02-24T02:28:04.80" personId="{13399233-BA81-4949-9BE8-57EDDD85014C}" id="{E2B8392D-784C-1C43-9C17-6F8F6E8E10E8}">
    <text>1893.1m NG NI</text>
  </threadedComment>
  <threadedComment ref="DN81" dT="2024-02-24T02:27:29.45" personId="{13399233-BA81-4949-9BE8-57EDDD85014C}" id="{D3E83574-E8FE-5147-B547-53DDC5467704}">
    <text>2249.4m NG NI</text>
  </threadedComment>
  <threadedComment ref="DJ82" dT="2024-02-24T02:28:12.49" personId="{13399233-BA81-4949-9BE8-57EDDD85014C}" id="{C09F6605-4B5E-4E4F-877F-AF898C62BEE7}">
    <text>2.09 NG NI</text>
  </threadedComment>
  <threadedComment ref="DN82" dT="2024-02-24T02:27:39.45" personId="{13399233-BA81-4949-9BE8-57EDDD85014C}" id="{6446E119-F193-1142-9DE3-B2093A985B4F}">
    <text>2.49 NG NI</text>
  </threadedComment>
  <threadedComment ref="DP82" dT="2024-10-26T15:24:21.11" personId="{13399233-BA81-4949-9BE8-57EDDD85014C}" id="{C9F253B3-164F-457B-A9EC-F6A22E190BBE}">
    <text>3.92 non-GAAP
4.06 excluding IPR&amp;D</text>
  </threadedComment>
  <threadedComment ref="DT82" dT="2025-08-04T14:25:23.98" personId="{13399233-BA81-4949-9BE8-57EDDD85014C}" id="{C1B849B5-9C8D-42CA-8F86-D113DDF519A0}">
    <text>8/4/25: 5.60</text>
  </threadedComment>
  <threadedComment ref="FK82" dT="2024-02-22T18:16:50.67" personId="{13399233-BA81-4949-9BE8-57EDDD85014C}" id="{EA475891-7DAB-5B42-A37D-6815334EAFF1}">
    <text>Q423 guidance: 12.20-12.70
Q224 guidance: 16.10-16.60
Q324 guidance: 13.02-13.52 non-GAAP</text>
  </threadedComment>
  <threadedComment ref="DN85" dT="2024-02-26T23:55:19.60" personId="{13399233-BA81-4949-9BE8-57EDDD85014C}" id="{E7A7648A-AC02-E948-A141-F239D41E7779}">
    <text>16% higher prices (Mounjaro savings card dynamics)
11% volume
1% FX</text>
  </threadedComment>
  <threadedComment ref="DP85" dT="2024-10-26T15:23:02.66" personId="{13399233-BA81-4949-9BE8-57EDDD85014C}" id="{CF8F0CD1-8A08-4519-892D-513C9145E9EF}">
    <text>+36% without Baqsimi
+27% increase in volume
+10% increase in prices</text>
  </threadedComment>
  <threadedComment ref="DM134" dT="2024-08-25T18:15:49.06" personId="{13399233-BA81-4949-9BE8-57EDDD85014C}" id="{F7EEE25E-A1A6-4B35-B1EF-801B6A1015FB}">
    <text>Sold Zyprexa, Baqsimi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T13" dT="2024-02-27T00:21:21.87" personId="{13399233-BA81-4949-9BE8-57EDDD85014C}" id="{9EFBC388-7842-A34E-BC67-3F0DEF2CB4E1}">
    <text xml:space="preserve">One-time benefit for change in rebate estimates. Revenue would have been ~$300m less! </text>
  </threadedComment>
  <threadedComment ref="BT13" dT="2024-02-27T00:21:21.87" personId="{13399233-BA81-4949-9BE8-57EDDD85014C}" id="{8C384B14-D415-9E49-B644-E9DC597BE4C9}">
    <text xml:space="preserve">One-time benefit for change in rebate estimates. Revenue would have been ~$300m less!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11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6" sqref="J6"/>
    </sheetView>
  </sheetViews>
  <sheetFormatPr defaultColWidth="8.81640625" defaultRowHeight="12.5" x14ac:dyDescent="0.25"/>
  <cols>
    <col min="1" max="1" width="5" bestFit="1" customWidth="1"/>
    <col min="2" max="2" width="13.453125" customWidth="1"/>
    <col min="3" max="3" width="12.1796875" customWidth="1"/>
    <col min="4" max="4" width="11.81640625" customWidth="1"/>
    <col min="10" max="10" width="10.7265625" customWidth="1"/>
  </cols>
  <sheetData>
    <row r="1" spans="1:10" x14ac:dyDescent="0.25">
      <c r="A1" s="114" t="s">
        <v>6</v>
      </c>
    </row>
    <row r="2" spans="1:10" x14ac:dyDescent="0.25">
      <c r="B2" s="38" t="s">
        <v>402</v>
      </c>
      <c r="C2" s="38" t="s">
        <v>403</v>
      </c>
      <c r="D2" s="38" t="s">
        <v>1</v>
      </c>
      <c r="E2" s="38" t="s">
        <v>405</v>
      </c>
      <c r="F2" s="38" t="s">
        <v>2</v>
      </c>
      <c r="G2" s="38" t="s">
        <v>379</v>
      </c>
      <c r="H2" s="38" t="s">
        <v>496</v>
      </c>
      <c r="J2" s="38" t="s">
        <v>574</v>
      </c>
    </row>
    <row r="3" spans="1:10" x14ac:dyDescent="0.25">
      <c r="B3" s="38" t="s">
        <v>68</v>
      </c>
      <c r="C3" s="38"/>
      <c r="D3" s="38" t="s">
        <v>36</v>
      </c>
      <c r="E3" s="38"/>
      <c r="F3" s="38" t="s">
        <v>754</v>
      </c>
      <c r="G3" s="38"/>
      <c r="H3" s="38"/>
      <c r="J3" s="116">
        <v>36356</v>
      </c>
    </row>
    <row r="4" spans="1:10" x14ac:dyDescent="0.25">
      <c r="B4" s="38" t="s">
        <v>992</v>
      </c>
      <c r="C4" s="38"/>
      <c r="D4" s="38"/>
      <c r="E4" s="38"/>
      <c r="F4" s="38"/>
      <c r="G4" s="38"/>
      <c r="H4" s="38"/>
      <c r="J4" s="116">
        <v>39955</v>
      </c>
    </row>
    <row r="5" spans="1:10" x14ac:dyDescent="0.25">
      <c r="B5" s="114" t="s">
        <v>19</v>
      </c>
      <c r="C5" s="38" t="s">
        <v>228</v>
      </c>
      <c r="D5" s="53" t="s">
        <v>116</v>
      </c>
      <c r="F5" s="86">
        <v>1</v>
      </c>
      <c r="G5" s="115">
        <v>38021</v>
      </c>
      <c r="H5" s="53">
        <v>2016</v>
      </c>
      <c r="J5" s="83">
        <v>38218</v>
      </c>
    </row>
    <row r="6" spans="1:10" x14ac:dyDescent="0.25">
      <c r="B6" s="38" t="s">
        <v>987</v>
      </c>
      <c r="C6" s="38"/>
      <c r="D6" s="53"/>
      <c r="F6" s="86"/>
      <c r="G6" s="115"/>
      <c r="H6" s="53"/>
    </row>
    <row r="7" spans="1:10" x14ac:dyDescent="0.25">
      <c r="B7" s="38" t="s">
        <v>792</v>
      </c>
      <c r="C7" s="38" t="s">
        <v>793</v>
      </c>
      <c r="D7" s="71" t="s">
        <v>79</v>
      </c>
      <c r="F7" s="86"/>
      <c r="G7" s="115"/>
      <c r="H7" s="53"/>
    </row>
    <row r="8" spans="1:10" x14ac:dyDescent="0.25">
      <c r="B8" s="38" t="s">
        <v>758</v>
      </c>
      <c r="C8" s="38" t="s">
        <v>794</v>
      </c>
      <c r="D8" s="71" t="s">
        <v>795</v>
      </c>
      <c r="E8" s="38" t="s">
        <v>791</v>
      </c>
      <c r="F8" s="86"/>
      <c r="G8" s="115"/>
      <c r="H8" s="53"/>
    </row>
    <row r="9" spans="1:10" x14ac:dyDescent="0.25">
      <c r="B9" s="38" t="s">
        <v>277</v>
      </c>
      <c r="C9" s="38"/>
      <c r="D9" s="38"/>
      <c r="E9" s="38"/>
    </row>
    <row r="10" spans="1:10" x14ac:dyDescent="0.25">
      <c r="B10" s="38" t="s">
        <v>454</v>
      </c>
      <c r="C10" s="38" t="s">
        <v>470</v>
      </c>
      <c r="D10" s="38"/>
      <c r="E10" s="38"/>
    </row>
    <row r="11" spans="1:10" x14ac:dyDescent="0.25">
      <c r="B11" s="38" t="s">
        <v>478</v>
      </c>
      <c r="C11" s="38" t="s">
        <v>479</v>
      </c>
      <c r="D11" s="38"/>
      <c r="E11" s="38"/>
      <c r="F11" t="s">
        <v>274</v>
      </c>
    </row>
    <row r="12" spans="1:10" x14ac:dyDescent="0.25">
      <c r="B12" s="38" t="s">
        <v>63</v>
      </c>
      <c r="C12" s="38" t="s">
        <v>765</v>
      </c>
      <c r="D12" s="38"/>
      <c r="E12" s="38"/>
    </row>
    <row r="13" spans="1:10" x14ac:dyDescent="0.25">
      <c r="B13" s="114" t="s">
        <v>547</v>
      </c>
      <c r="C13" s="53" t="s">
        <v>40</v>
      </c>
      <c r="D13" s="53" t="s">
        <v>108</v>
      </c>
      <c r="E13" s="70">
        <v>1</v>
      </c>
      <c r="G13" s="53">
        <v>2016</v>
      </c>
      <c r="J13" s="115">
        <v>37946</v>
      </c>
    </row>
    <row r="14" spans="1:10" x14ac:dyDescent="0.25">
      <c r="B14" s="38" t="s">
        <v>797</v>
      </c>
      <c r="C14" s="110" t="s">
        <v>796</v>
      </c>
      <c r="D14" s="38" t="s">
        <v>79</v>
      </c>
      <c r="E14" s="38"/>
      <c r="G14" s="38" t="s">
        <v>785</v>
      </c>
    </row>
    <row r="15" spans="1:10" x14ac:dyDescent="0.25">
      <c r="B15" s="110" t="s">
        <v>983</v>
      </c>
      <c r="C15" s="110"/>
      <c r="D15" s="38"/>
      <c r="E15" s="38"/>
      <c r="G15" s="38"/>
    </row>
    <row r="16" spans="1:10" x14ac:dyDescent="0.25">
      <c r="B16" s="38" t="s">
        <v>798</v>
      </c>
      <c r="C16" s="110" t="s">
        <v>799</v>
      </c>
      <c r="D16" s="38" t="s">
        <v>79</v>
      </c>
      <c r="E16" s="38"/>
      <c r="G16" s="38"/>
    </row>
    <row r="17" spans="2:8" x14ac:dyDescent="0.25">
      <c r="B17" s="38" t="s">
        <v>14</v>
      </c>
      <c r="C17" s="38" t="s">
        <v>404</v>
      </c>
      <c r="D17" s="38" t="s">
        <v>406</v>
      </c>
      <c r="E17" s="38" t="s">
        <v>107</v>
      </c>
      <c r="F17" s="70">
        <v>1</v>
      </c>
      <c r="G17" s="115">
        <v>38202</v>
      </c>
      <c r="H17" s="71" t="s">
        <v>544</v>
      </c>
    </row>
    <row r="18" spans="2:8" x14ac:dyDescent="0.25">
      <c r="B18" s="38" t="s">
        <v>73</v>
      </c>
      <c r="C18" s="38"/>
      <c r="D18" s="38" t="s">
        <v>780</v>
      </c>
      <c r="E18" s="38"/>
      <c r="F18" s="70"/>
      <c r="G18" s="115"/>
      <c r="H18" s="71"/>
    </row>
    <row r="19" spans="2:8" x14ac:dyDescent="0.25">
      <c r="B19" s="38" t="s">
        <v>370</v>
      </c>
      <c r="C19" s="38"/>
      <c r="D19" s="38"/>
      <c r="E19" s="38"/>
    </row>
    <row r="20" spans="2:8" x14ac:dyDescent="0.25">
      <c r="B20" s="38" t="s">
        <v>800</v>
      </c>
      <c r="C20" s="110" t="s">
        <v>801</v>
      </c>
      <c r="D20" s="38" t="s">
        <v>194</v>
      </c>
      <c r="E20" s="38"/>
    </row>
    <row r="21" spans="2:8" x14ac:dyDescent="0.25">
      <c r="B21" s="38" t="s">
        <v>753</v>
      </c>
      <c r="C21" s="38"/>
      <c r="D21" s="38" t="s">
        <v>194</v>
      </c>
      <c r="E21" s="38"/>
    </row>
    <row r="22" spans="2:8" x14ac:dyDescent="0.25">
      <c r="B22" s="38" t="s">
        <v>71</v>
      </c>
      <c r="C22" s="38" t="s">
        <v>802</v>
      </c>
      <c r="D22" s="38" t="s">
        <v>776</v>
      </c>
      <c r="E22" s="38"/>
    </row>
    <row r="23" spans="2:8" x14ac:dyDescent="0.25">
      <c r="B23" s="110" t="s">
        <v>984</v>
      </c>
      <c r="C23" s="38"/>
      <c r="D23" s="38"/>
      <c r="E23" s="38"/>
    </row>
    <row r="24" spans="2:8" x14ac:dyDescent="0.25">
      <c r="B24" s="38" t="s">
        <v>773</v>
      </c>
      <c r="C24" s="38" t="s">
        <v>803</v>
      </c>
      <c r="D24" s="38"/>
      <c r="E24" s="38" t="s">
        <v>774</v>
      </c>
    </row>
    <row r="25" spans="2:8" x14ac:dyDescent="0.25">
      <c r="B25" s="38" t="s">
        <v>261</v>
      </c>
      <c r="C25" s="38" t="s">
        <v>435</v>
      </c>
      <c r="D25" s="38" t="s">
        <v>93</v>
      </c>
      <c r="E25" s="38" t="s">
        <v>90</v>
      </c>
      <c r="F25" s="38" t="s">
        <v>436</v>
      </c>
    </row>
    <row r="26" spans="2:8" x14ac:dyDescent="0.25">
      <c r="B26" s="38" t="s">
        <v>784</v>
      </c>
      <c r="C26" s="38"/>
      <c r="D26" s="38" t="s">
        <v>308</v>
      </c>
      <c r="E26" s="38"/>
      <c r="F26" s="38"/>
    </row>
    <row r="27" spans="2:8" x14ac:dyDescent="0.25">
      <c r="B27" s="38" t="s">
        <v>981</v>
      </c>
      <c r="C27" s="38"/>
      <c r="D27" s="38"/>
      <c r="E27" s="38"/>
      <c r="F27" s="38"/>
    </row>
    <row r="28" spans="2:8" x14ac:dyDescent="0.25">
      <c r="B28" s="38" t="s">
        <v>375</v>
      </c>
      <c r="C28" s="38"/>
      <c r="D28" s="38"/>
      <c r="E28" s="38"/>
      <c r="F28" s="38"/>
    </row>
    <row r="29" spans="2:8" x14ac:dyDescent="0.25">
      <c r="B29" s="38" t="s">
        <v>17</v>
      </c>
      <c r="C29" s="38"/>
      <c r="D29" s="38" t="s">
        <v>111</v>
      </c>
      <c r="E29" s="38" t="s">
        <v>110</v>
      </c>
    </row>
    <row r="30" spans="2:8" x14ac:dyDescent="0.25">
      <c r="B30" s="14" t="s">
        <v>545</v>
      </c>
      <c r="C30" s="6" t="s">
        <v>111</v>
      </c>
      <c r="D30" s="6"/>
      <c r="E30" s="40" t="s">
        <v>282</v>
      </c>
      <c r="F30" s="30">
        <v>37586</v>
      </c>
      <c r="G30" s="44" t="s">
        <v>546</v>
      </c>
    </row>
    <row r="31" spans="2:8" x14ac:dyDescent="0.25">
      <c r="B31" s="38" t="s">
        <v>55</v>
      </c>
      <c r="C31" s="38" t="s">
        <v>437</v>
      </c>
      <c r="D31" s="38"/>
      <c r="E31" s="38"/>
    </row>
    <row r="32" spans="2:8" x14ac:dyDescent="0.25">
      <c r="B32" s="38" t="s">
        <v>494</v>
      </c>
      <c r="C32" s="38"/>
      <c r="D32" s="38"/>
      <c r="E32" s="38"/>
    </row>
    <row r="33" spans="2:6" x14ac:dyDescent="0.25">
      <c r="B33" s="38" t="s">
        <v>994</v>
      </c>
      <c r="C33" s="38"/>
      <c r="D33" s="38"/>
      <c r="E33" s="38"/>
    </row>
    <row r="34" spans="2:6" x14ac:dyDescent="0.25">
      <c r="B34" s="38" t="s">
        <v>990</v>
      </c>
      <c r="C34" s="38"/>
      <c r="D34" s="38"/>
      <c r="E34" s="38"/>
    </row>
    <row r="35" spans="2:6" x14ac:dyDescent="0.25">
      <c r="B35" s="38" t="s">
        <v>54</v>
      </c>
      <c r="C35" s="38" t="s">
        <v>804</v>
      </c>
      <c r="D35" s="38" t="s">
        <v>708</v>
      </c>
      <c r="E35" s="38" t="s">
        <v>763</v>
      </c>
    </row>
    <row r="36" spans="2:6" x14ac:dyDescent="0.25">
      <c r="B36" s="38" t="s">
        <v>985</v>
      </c>
      <c r="C36" s="38"/>
      <c r="D36" s="38"/>
      <c r="E36" s="38"/>
    </row>
    <row r="37" spans="2:6" x14ac:dyDescent="0.25">
      <c r="B37" s="38" t="s">
        <v>69</v>
      </c>
      <c r="C37" s="38" t="s">
        <v>805</v>
      </c>
      <c r="D37" s="38" t="s">
        <v>768</v>
      </c>
      <c r="E37" s="38" t="s">
        <v>769</v>
      </c>
    </row>
    <row r="38" spans="2:6" x14ac:dyDescent="0.25">
      <c r="B38" s="38" t="s">
        <v>57</v>
      </c>
      <c r="C38" s="38" t="s">
        <v>762</v>
      </c>
      <c r="D38" s="38" t="s">
        <v>708</v>
      </c>
      <c r="E38" s="38" t="s">
        <v>764</v>
      </c>
    </row>
    <row r="39" spans="2:6" x14ac:dyDescent="0.25">
      <c r="B39" s="38" t="s">
        <v>760</v>
      </c>
      <c r="C39" s="38" t="s">
        <v>806</v>
      </c>
      <c r="D39" s="38" t="s">
        <v>708</v>
      </c>
      <c r="E39" s="38" t="s">
        <v>761</v>
      </c>
    </row>
    <row r="40" spans="2:6" x14ac:dyDescent="0.25">
      <c r="B40" s="38" t="s">
        <v>368</v>
      </c>
      <c r="C40" s="38"/>
      <c r="D40" s="38" t="s">
        <v>36</v>
      </c>
      <c r="E40" s="38"/>
    </row>
    <row r="41" spans="2:6" x14ac:dyDescent="0.25">
      <c r="B41" s="38" t="s">
        <v>996</v>
      </c>
      <c r="C41" s="38"/>
      <c r="D41" s="38"/>
      <c r="E41" s="38"/>
    </row>
    <row r="42" spans="2:6" x14ac:dyDescent="0.25">
      <c r="B42" s="38" t="s">
        <v>756</v>
      </c>
      <c r="C42" s="110" t="s">
        <v>807</v>
      </c>
      <c r="D42" s="38"/>
      <c r="E42" s="38" t="s">
        <v>767</v>
      </c>
    </row>
    <row r="43" spans="2:6" x14ac:dyDescent="0.25">
      <c r="B43" s="38" t="s">
        <v>766</v>
      </c>
      <c r="C43" s="110" t="s">
        <v>807</v>
      </c>
      <c r="D43" s="38"/>
      <c r="E43" s="38" t="s">
        <v>767</v>
      </c>
    </row>
    <row r="44" spans="2:6" x14ac:dyDescent="0.25">
      <c r="B44" s="38" t="s">
        <v>771</v>
      </c>
      <c r="C44" s="110" t="s">
        <v>808</v>
      </c>
      <c r="D44" s="38"/>
      <c r="E44" s="38" t="s">
        <v>775</v>
      </c>
    </row>
    <row r="45" spans="2:6" x14ac:dyDescent="0.25">
      <c r="B45" s="38" t="s">
        <v>772</v>
      </c>
      <c r="C45" s="110" t="s">
        <v>809</v>
      </c>
      <c r="D45" s="38"/>
      <c r="E45" s="38" t="s">
        <v>775</v>
      </c>
    </row>
    <row r="46" spans="2:6" x14ac:dyDescent="0.25">
      <c r="B46" s="38" t="s">
        <v>507</v>
      </c>
      <c r="C46" s="110"/>
      <c r="D46" s="38"/>
      <c r="E46" s="38"/>
    </row>
    <row r="47" spans="2:6" x14ac:dyDescent="0.25">
      <c r="B47" s="38" t="s">
        <v>407</v>
      </c>
      <c r="C47" s="38" t="s">
        <v>408</v>
      </c>
      <c r="D47" s="38" t="s">
        <v>409</v>
      </c>
      <c r="E47" s="38" t="s">
        <v>790</v>
      </c>
      <c r="F47" s="38" t="s">
        <v>265</v>
      </c>
    </row>
    <row r="48" spans="2:6" x14ac:dyDescent="0.25">
      <c r="B48" s="38" t="s">
        <v>64</v>
      </c>
      <c r="C48" s="110" t="s">
        <v>810</v>
      </c>
      <c r="D48" s="38"/>
      <c r="E48" s="38" t="s">
        <v>789</v>
      </c>
      <c r="F48" s="38"/>
    </row>
    <row r="49" spans="2:10" x14ac:dyDescent="0.25">
      <c r="B49" s="38" t="s">
        <v>986</v>
      </c>
      <c r="C49" s="110"/>
      <c r="D49" s="38"/>
      <c r="E49" s="38"/>
      <c r="F49" s="38"/>
    </row>
    <row r="50" spans="2:10" x14ac:dyDescent="0.25">
      <c r="B50" s="38" t="s">
        <v>788</v>
      </c>
      <c r="C50" s="110" t="s">
        <v>811</v>
      </c>
      <c r="D50" s="38"/>
      <c r="E50" s="38" t="s">
        <v>775</v>
      </c>
      <c r="F50" s="38"/>
    </row>
    <row r="51" spans="2:10" x14ac:dyDescent="0.25">
      <c r="B51" s="38" t="s">
        <v>812</v>
      </c>
      <c r="C51" s="110" t="s">
        <v>813</v>
      </c>
      <c r="D51" s="38"/>
      <c r="E51" s="38"/>
      <c r="F51" s="38"/>
    </row>
    <row r="52" spans="2:10" x14ac:dyDescent="0.25">
      <c r="B52" s="38" t="s">
        <v>755</v>
      </c>
      <c r="C52" s="38" t="s">
        <v>814</v>
      </c>
      <c r="D52" s="38"/>
      <c r="E52" s="38" t="s">
        <v>779</v>
      </c>
      <c r="F52" s="38"/>
    </row>
    <row r="53" spans="2:10" x14ac:dyDescent="0.25">
      <c r="B53" s="38" t="s">
        <v>440</v>
      </c>
      <c r="C53" s="38" t="s">
        <v>441</v>
      </c>
      <c r="D53" s="38" t="s">
        <v>239</v>
      </c>
      <c r="E53" s="38" t="s">
        <v>266</v>
      </c>
      <c r="F53" s="38" t="s">
        <v>267</v>
      </c>
    </row>
    <row r="54" spans="2:10" x14ac:dyDescent="0.25">
      <c r="B54" s="38" t="s">
        <v>781</v>
      </c>
      <c r="C54" s="38" t="s">
        <v>815</v>
      </c>
      <c r="D54" s="38" t="s">
        <v>782</v>
      </c>
      <c r="E54" s="38"/>
      <c r="F54" s="38"/>
    </row>
    <row r="55" spans="2:10" x14ac:dyDescent="0.25">
      <c r="B55" s="38" t="s">
        <v>418</v>
      </c>
      <c r="C55" s="38" t="s">
        <v>816</v>
      </c>
      <c r="D55" s="38" t="s">
        <v>759</v>
      </c>
      <c r="E55" s="38"/>
      <c r="F55" s="38"/>
      <c r="G55" s="21" t="s">
        <v>419</v>
      </c>
    </row>
    <row r="56" spans="2:10" x14ac:dyDescent="0.25">
      <c r="B56" s="38" t="s">
        <v>508</v>
      </c>
      <c r="C56" s="38"/>
      <c r="D56" s="38"/>
      <c r="E56" s="38"/>
      <c r="F56" s="38"/>
      <c r="G56" s="21"/>
    </row>
    <row r="57" spans="2:10" x14ac:dyDescent="0.25">
      <c r="B57" s="38" t="s">
        <v>988</v>
      </c>
      <c r="C57" s="38"/>
      <c r="D57" s="38"/>
      <c r="E57" s="38"/>
      <c r="F57" s="38"/>
      <c r="G57" s="21"/>
    </row>
    <row r="58" spans="2:10" x14ac:dyDescent="0.25">
      <c r="B58" s="38" t="s">
        <v>61</v>
      </c>
      <c r="C58" s="38" t="s">
        <v>817</v>
      </c>
      <c r="D58" s="38" t="s">
        <v>37</v>
      </c>
      <c r="E58" s="38"/>
      <c r="F58" s="38"/>
      <c r="G58" s="21"/>
    </row>
    <row r="59" spans="2:10" x14ac:dyDescent="0.25">
      <c r="B59" s="38" t="s">
        <v>495</v>
      </c>
      <c r="C59" s="38"/>
      <c r="D59" s="38"/>
      <c r="E59" s="38"/>
      <c r="F59" s="38"/>
      <c r="G59" s="21"/>
      <c r="H59" s="38" t="s">
        <v>497</v>
      </c>
    </row>
    <row r="60" spans="2:10" x14ac:dyDescent="0.25">
      <c r="B60" s="38" t="s">
        <v>72</v>
      </c>
      <c r="C60" s="38" t="s">
        <v>818</v>
      </c>
      <c r="D60" s="38" t="s">
        <v>777</v>
      </c>
      <c r="E60" s="38"/>
      <c r="F60" s="38" t="s">
        <v>778</v>
      </c>
      <c r="G60" s="21"/>
      <c r="H60" s="38"/>
    </row>
    <row r="61" spans="2:10" x14ac:dyDescent="0.25">
      <c r="B61" s="38" t="s">
        <v>377</v>
      </c>
      <c r="C61" s="38"/>
      <c r="D61" s="38"/>
      <c r="E61" s="38"/>
      <c r="F61" s="38"/>
      <c r="G61" s="21"/>
    </row>
    <row r="62" spans="2:10" x14ac:dyDescent="0.25">
      <c r="B62" s="38" t="s">
        <v>455</v>
      </c>
      <c r="C62" s="38" t="s">
        <v>498</v>
      </c>
      <c r="D62" s="38" t="s">
        <v>453</v>
      </c>
      <c r="E62" s="38"/>
      <c r="F62" s="38"/>
      <c r="G62" s="21"/>
    </row>
    <row r="63" spans="2:10" x14ac:dyDescent="0.25">
      <c r="B63" s="38" t="s">
        <v>993</v>
      </c>
      <c r="C63" s="38"/>
      <c r="D63" s="38"/>
      <c r="E63" s="38"/>
      <c r="F63" s="38"/>
      <c r="G63" s="21"/>
    </row>
    <row r="64" spans="2:10" ht="13" x14ac:dyDescent="0.3">
      <c r="B64" s="38" t="s">
        <v>15</v>
      </c>
      <c r="C64" s="38" t="s">
        <v>410</v>
      </c>
      <c r="D64" s="38" t="s">
        <v>38</v>
      </c>
      <c r="J64" s="16"/>
    </row>
    <row r="65" spans="2:10" x14ac:dyDescent="0.25">
      <c r="B65" s="38" t="s">
        <v>41</v>
      </c>
      <c r="C65" s="38"/>
      <c r="D65" s="38" t="s">
        <v>414</v>
      </c>
    </row>
    <row r="66" spans="2:10" x14ac:dyDescent="0.25">
      <c r="B66" s="38" t="s">
        <v>995</v>
      </c>
      <c r="C66" s="38"/>
      <c r="D66" s="38"/>
    </row>
    <row r="67" spans="2:10" x14ac:dyDescent="0.25">
      <c r="B67" s="38" t="s">
        <v>443</v>
      </c>
      <c r="C67" s="38" t="s">
        <v>444</v>
      </c>
      <c r="D67" s="38" t="s">
        <v>239</v>
      </c>
      <c r="E67" s="38" t="s">
        <v>442</v>
      </c>
      <c r="F67" s="77">
        <v>1</v>
      </c>
    </row>
    <row r="68" spans="2:10" x14ac:dyDescent="0.25">
      <c r="B68" s="38" t="s">
        <v>989</v>
      </c>
      <c r="C68" s="38"/>
      <c r="D68" s="38"/>
      <c r="E68" s="38"/>
      <c r="F68" s="77"/>
    </row>
    <row r="69" spans="2:10" x14ac:dyDescent="0.25">
      <c r="B69" s="38" t="s">
        <v>770</v>
      </c>
      <c r="C69" s="38" t="s">
        <v>819</v>
      </c>
      <c r="D69" s="38"/>
      <c r="E69" s="38" t="s">
        <v>775</v>
      </c>
      <c r="F69" s="77"/>
    </row>
    <row r="70" spans="2:10" x14ac:dyDescent="0.25">
      <c r="B70" s="38" t="s">
        <v>492</v>
      </c>
      <c r="C70" s="38"/>
      <c r="D70" s="38" t="s">
        <v>36</v>
      </c>
      <c r="E70" s="38"/>
      <c r="F70" s="77"/>
    </row>
    <row r="71" spans="2:10" x14ac:dyDescent="0.25">
      <c r="B71" s="38" t="s">
        <v>463</v>
      </c>
      <c r="C71" s="38" t="s">
        <v>462</v>
      </c>
      <c r="D71" s="38" t="s">
        <v>36</v>
      </c>
      <c r="E71" s="38" t="s">
        <v>118</v>
      </c>
      <c r="F71" s="77"/>
    </row>
    <row r="72" spans="2:10" x14ac:dyDescent="0.25">
      <c r="B72" s="38" t="s">
        <v>66</v>
      </c>
      <c r="C72" s="38" t="s">
        <v>820</v>
      </c>
      <c r="D72" s="38"/>
      <c r="E72" s="38" t="s">
        <v>767</v>
      </c>
      <c r="F72" s="77"/>
      <c r="H72" s="38" t="s">
        <v>757</v>
      </c>
    </row>
    <row r="73" spans="2:10" x14ac:dyDescent="0.25">
      <c r="B73" s="38" t="s">
        <v>783</v>
      </c>
      <c r="C73" s="38" t="s">
        <v>821</v>
      </c>
      <c r="D73" s="38" t="s">
        <v>451</v>
      </c>
      <c r="E73" s="38"/>
      <c r="F73" s="77"/>
      <c r="H73" s="38"/>
    </row>
    <row r="74" spans="2:10" x14ac:dyDescent="0.25">
      <c r="B74" s="38" t="s">
        <v>369</v>
      </c>
      <c r="C74" s="38"/>
      <c r="D74" s="38"/>
      <c r="E74" s="38"/>
      <c r="F74" s="77"/>
    </row>
    <row r="75" spans="2:10" x14ac:dyDescent="0.25">
      <c r="B75" s="38" t="s">
        <v>991</v>
      </c>
      <c r="C75" s="38"/>
      <c r="D75" s="38"/>
      <c r="E75" s="38"/>
      <c r="F75" s="77"/>
    </row>
    <row r="76" spans="2:10" x14ac:dyDescent="0.25">
      <c r="B76" s="38" t="s">
        <v>416</v>
      </c>
      <c r="C76" s="38"/>
      <c r="D76" s="38"/>
      <c r="G76" s="21" t="s">
        <v>417</v>
      </c>
    </row>
    <row r="77" spans="2:10" x14ac:dyDescent="0.25">
      <c r="B77" s="38" t="s">
        <v>7</v>
      </c>
      <c r="C77" s="38" t="s">
        <v>85</v>
      </c>
      <c r="D77" s="38" t="s">
        <v>411</v>
      </c>
      <c r="E77" s="38" t="s">
        <v>412</v>
      </c>
      <c r="G77" s="21" t="s">
        <v>415</v>
      </c>
    </row>
    <row r="78" spans="2:10" x14ac:dyDescent="0.25">
      <c r="B78" s="36" t="s">
        <v>448</v>
      </c>
      <c r="C78" s="37" t="s">
        <v>450</v>
      </c>
      <c r="D78" s="6"/>
      <c r="E78" s="40"/>
      <c r="F78" s="6"/>
      <c r="G78" s="7"/>
    </row>
    <row r="79" spans="2:10" x14ac:dyDescent="0.25">
      <c r="B79" s="36" t="s">
        <v>449</v>
      </c>
      <c r="C79" s="37" t="s">
        <v>450</v>
      </c>
      <c r="D79" s="6"/>
      <c r="E79" s="40"/>
      <c r="F79" s="6"/>
      <c r="G79" s="7"/>
      <c r="J79" s="21"/>
    </row>
    <row r="86" spans="2:8" x14ac:dyDescent="0.25">
      <c r="B86" s="38" t="s">
        <v>402</v>
      </c>
      <c r="C86" s="38" t="s">
        <v>403</v>
      </c>
      <c r="D86" s="38" t="s">
        <v>1</v>
      </c>
      <c r="E86" s="38" t="s">
        <v>405</v>
      </c>
      <c r="F86" s="38" t="s">
        <v>2</v>
      </c>
      <c r="G86" s="38" t="s">
        <v>5</v>
      </c>
      <c r="H86" s="38" t="s">
        <v>474</v>
      </c>
    </row>
    <row r="87" spans="2:8" x14ac:dyDescent="0.25">
      <c r="B87" s="38"/>
      <c r="C87" s="38" t="s">
        <v>481</v>
      </c>
      <c r="D87" s="38" t="s">
        <v>120</v>
      </c>
      <c r="E87" s="38" t="s">
        <v>483</v>
      </c>
      <c r="F87" s="38"/>
      <c r="G87" s="38"/>
      <c r="H87" s="38"/>
    </row>
    <row r="88" spans="2:8" x14ac:dyDescent="0.25">
      <c r="C88" s="38" t="s">
        <v>404</v>
      </c>
      <c r="D88" s="38" t="s">
        <v>39</v>
      </c>
    </row>
    <row r="89" spans="2:8" x14ac:dyDescent="0.25">
      <c r="C89" s="38" t="s">
        <v>49</v>
      </c>
      <c r="D89" s="38" t="s">
        <v>121</v>
      </c>
      <c r="E89" s="38" t="s">
        <v>456</v>
      </c>
    </row>
    <row r="90" spans="2:8" x14ac:dyDescent="0.25">
      <c r="B90" t="s">
        <v>25</v>
      </c>
      <c r="D90" s="53" t="s">
        <v>116</v>
      </c>
      <c r="E90" s="53" t="s">
        <v>191</v>
      </c>
      <c r="F90" s="70" t="s">
        <v>192</v>
      </c>
      <c r="G90" s="53" t="s">
        <v>105</v>
      </c>
    </row>
    <row r="91" spans="2:8" x14ac:dyDescent="0.25">
      <c r="C91" s="38" t="s">
        <v>322</v>
      </c>
      <c r="D91" s="38" t="s">
        <v>37</v>
      </c>
      <c r="E91" s="38" t="s">
        <v>193</v>
      </c>
    </row>
    <row r="92" spans="2:8" x14ac:dyDescent="0.25">
      <c r="B92" s="38"/>
      <c r="C92" s="38" t="s">
        <v>323</v>
      </c>
      <c r="D92" s="71" t="s">
        <v>325</v>
      </c>
      <c r="E92" s="71" t="s">
        <v>324</v>
      </c>
      <c r="F92" s="70">
        <v>1</v>
      </c>
      <c r="G92" s="71" t="s">
        <v>47</v>
      </c>
    </row>
    <row r="93" spans="2:8" x14ac:dyDescent="0.25">
      <c r="B93" s="38" t="s">
        <v>423</v>
      </c>
    </row>
    <row r="94" spans="2:8" x14ac:dyDescent="0.25">
      <c r="B94" s="38" t="s">
        <v>432</v>
      </c>
      <c r="D94" t="s">
        <v>120</v>
      </c>
      <c r="E94" s="38" t="s">
        <v>431</v>
      </c>
    </row>
    <row r="95" spans="2:8" x14ac:dyDescent="0.25">
      <c r="B95" s="38" t="s">
        <v>424</v>
      </c>
    </row>
    <row r="96" spans="2:8" x14ac:dyDescent="0.25">
      <c r="B96" s="38" t="s">
        <v>425</v>
      </c>
    </row>
    <row r="97" spans="2:8" x14ac:dyDescent="0.25">
      <c r="C97" s="38" t="s">
        <v>473</v>
      </c>
      <c r="H97" t="s">
        <v>475</v>
      </c>
    </row>
    <row r="98" spans="2:8" x14ac:dyDescent="0.25">
      <c r="B98" s="38" t="s">
        <v>426</v>
      </c>
    </row>
    <row r="99" spans="2:8" x14ac:dyDescent="0.25">
      <c r="B99" s="38" t="s">
        <v>427</v>
      </c>
    </row>
    <row r="100" spans="2:8" x14ac:dyDescent="0.25">
      <c r="B100" s="38"/>
      <c r="C100" t="s">
        <v>476</v>
      </c>
      <c r="G100" t="s">
        <v>477</v>
      </c>
    </row>
    <row r="101" spans="2:8" x14ac:dyDescent="0.25">
      <c r="B101" s="38" t="s">
        <v>428</v>
      </c>
    </row>
    <row r="102" spans="2:8" x14ac:dyDescent="0.25">
      <c r="B102" s="38"/>
      <c r="C102" s="38" t="s">
        <v>430</v>
      </c>
    </row>
    <row r="103" spans="2:8" x14ac:dyDescent="0.25">
      <c r="B103" s="38"/>
      <c r="C103" t="s">
        <v>422</v>
      </c>
    </row>
    <row r="104" spans="2:8" x14ac:dyDescent="0.25">
      <c r="B104" s="38"/>
    </row>
    <row r="105" spans="2:8" x14ac:dyDescent="0.25">
      <c r="B105" s="38" t="s">
        <v>238</v>
      </c>
      <c r="C105" t="s">
        <v>464</v>
      </c>
      <c r="D105" t="s">
        <v>465</v>
      </c>
      <c r="E105" t="s">
        <v>466</v>
      </c>
    </row>
    <row r="106" spans="2:8" x14ac:dyDescent="0.25">
      <c r="C106" s="38" t="s">
        <v>429</v>
      </c>
    </row>
    <row r="107" spans="2:8" x14ac:dyDescent="0.25">
      <c r="B107" s="5" t="s">
        <v>160</v>
      </c>
      <c r="D107" s="6" t="s">
        <v>159</v>
      </c>
      <c r="E107" s="6" t="s">
        <v>501</v>
      </c>
    </row>
    <row r="108" spans="2:8" x14ac:dyDescent="0.25">
      <c r="B108" s="36" t="s">
        <v>178</v>
      </c>
      <c r="C108" t="s">
        <v>482</v>
      </c>
      <c r="D108" s="6" t="s">
        <v>120</v>
      </c>
      <c r="E108" s="6" t="s">
        <v>179</v>
      </c>
      <c r="F108" s="11">
        <v>1</v>
      </c>
      <c r="G108" s="37" t="s">
        <v>47</v>
      </c>
      <c r="H108" s="44" t="s">
        <v>305</v>
      </c>
    </row>
    <row r="109" spans="2:8" x14ac:dyDescent="0.25">
      <c r="C109" s="36" t="s">
        <v>276</v>
      </c>
      <c r="D109" s="6" t="s">
        <v>280</v>
      </c>
      <c r="E109" s="6" t="s">
        <v>281</v>
      </c>
      <c r="F109" s="11" t="s">
        <v>282</v>
      </c>
      <c r="G109" s="37" t="s">
        <v>283</v>
      </c>
    </row>
    <row r="110" spans="2:8" x14ac:dyDescent="0.25">
      <c r="B110" s="5" t="s">
        <v>204</v>
      </c>
      <c r="D110" s="6" t="s">
        <v>194</v>
      </c>
      <c r="E110" s="6" t="s">
        <v>195</v>
      </c>
      <c r="F110" s="11" t="s">
        <v>205</v>
      </c>
      <c r="G110" s="6" t="s">
        <v>105</v>
      </c>
    </row>
    <row r="111" spans="2:8" x14ac:dyDescent="0.25">
      <c r="B111" s="36" t="s">
        <v>309</v>
      </c>
      <c r="C111" s="37" t="s">
        <v>311</v>
      </c>
      <c r="D111" s="37" t="s">
        <v>310</v>
      </c>
      <c r="E111" s="40" t="s">
        <v>282</v>
      </c>
      <c r="F111" s="37" t="s">
        <v>105</v>
      </c>
      <c r="G111" s="7"/>
    </row>
    <row r="112" spans="2:8" x14ac:dyDescent="0.25">
      <c r="B112" s="36" t="s">
        <v>306</v>
      </c>
      <c r="C112" s="37" t="s">
        <v>308</v>
      </c>
      <c r="D112" s="37" t="s">
        <v>307</v>
      </c>
      <c r="E112" s="40" t="s">
        <v>282</v>
      </c>
      <c r="F112" s="37" t="s">
        <v>105</v>
      </c>
      <c r="G112" s="7"/>
    </row>
    <row r="113" spans="2:8" x14ac:dyDescent="0.25">
      <c r="B113" s="5" t="s">
        <v>134</v>
      </c>
      <c r="D113" s="6" t="s">
        <v>36</v>
      </c>
      <c r="E113" s="6" t="s">
        <v>133</v>
      </c>
      <c r="F113" s="11">
        <v>1</v>
      </c>
      <c r="G113" s="6" t="s">
        <v>105</v>
      </c>
    </row>
    <row r="114" spans="2:8" x14ac:dyDescent="0.25">
      <c r="B114" s="5" t="s">
        <v>188</v>
      </c>
      <c r="D114" s="6" t="s">
        <v>36</v>
      </c>
      <c r="E114" s="6" t="s">
        <v>189</v>
      </c>
      <c r="F114" s="6" t="s">
        <v>190</v>
      </c>
      <c r="G114" s="6" t="s">
        <v>119</v>
      </c>
    </row>
    <row r="115" spans="2:8" x14ac:dyDescent="0.25">
      <c r="B115" s="45" t="s">
        <v>23</v>
      </c>
      <c r="D115" s="8" t="s">
        <v>13</v>
      </c>
      <c r="E115" s="9" t="s">
        <v>106</v>
      </c>
      <c r="F115" s="12">
        <v>1</v>
      </c>
      <c r="G115" s="9" t="s">
        <v>207</v>
      </c>
      <c r="H115" s="10">
        <v>2018</v>
      </c>
    </row>
    <row r="116" spans="2:8" x14ac:dyDescent="0.25">
      <c r="B116" s="1" t="s">
        <v>1072</v>
      </c>
      <c r="H116" s="38" t="s">
        <v>1073</v>
      </c>
    </row>
    <row r="117" spans="2:8" x14ac:dyDescent="0.25">
      <c r="B117" s="38"/>
      <c r="C117" s="38" t="s">
        <v>725</v>
      </c>
      <c r="D117" s="38" t="s">
        <v>239</v>
      </c>
      <c r="E117" s="6" t="s">
        <v>1086</v>
      </c>
      <c r="H117" s="38" t="s">
        <v>1085</v>
      </c>
    </row>
    <row r="118" spans="2:8" x14ac:dyDescent="0.25">
      <c r="B118" s="1" t="s">
        <v>720</v>
      </c>
      <c r="D118" s="38" t="s">
        <v>445</v>
      </c>
      <c r="H118" s="38" t="s">
        <v>1087</v>
      </c>
    </row>
    <row r="119" spans="2:8" x14ac:dyDescent="0.25">
      <c r="E119" s="6" t="s">
        <v>1107</v>
      </c>
    </row>
  </sheetData>
  <hyperlinks>
    <hyperlink ref="A1" location="Main!A1" display="Main" xr:uid="{51C43F83-2157-4729-AD8D-12CA9807EE38}"/>
    <hyperlink ref="B30" location="Forteo!A1" display="Forteo" xr:uid="{00000000-0004-0000-0000-000004000000}"/>
    <hyperlink ref="B13" location="Cialis!A1" display="Cialis" xr:uid="{00000000-0004-0000-0000-000007000000}"/>
    <hyperlink ref="B115" location="Zyprexa!A1" display="Zyprexa Depot" xr:uid="{00000000-0004-0000-0000-00000A000000}"/>
    <hyperlink ref="B5" location="Alimta!A1" display="Alimta" xr:uid="{00000000-0004-0000-0000-000008000000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62E0-B1CA-459F-B1A9-81E7971020F9}">
  <dimension ref="A1:C33"/>
  <sheetViews>
    <sheetView zoomScale="115" zoomScaleNormal="115" workbookViewId="0">
      <selection activeCell="C33" sqref="C33"/>
    </sheetView>
  </sheetViews>
  <sheetFormatPr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581</v>
      </c>
    </row>
    <row r="3" spans="1:3" x14ac:dyDescent="0.25">
      <c r="B3" s="38" t="s">
        <v>403</v>
      </c>
      <c r="C3" s="110" t="s">
        <v>564</v>
      </c>
    </row>
    <row r="4" spans="1:3" x14ac:dyDescent="0.25">
      <c r="B4" s="38" t="s">
        <v>1</v>
      </c>
      <c r="C4" s="38" t="s">
        <v>518</v>
      </c>
    </row>
    <row r="5" spans="1:3" x14ac:dyDescent="0.25">
      <c r="B5" s="38" t="s">
        <v>405</v>
      </c>
      <c r="C5" s="38" t="s">
        <v>1267</v>
      </c>
    </row>
    <row r="6" spans="1:3" x14ac:dyDescent="0.25">
      <c r="B6" s="38" t="s">
        <v>2</v>
      </c>
      <c r="C6" s="38" t="s">
        <v>1268</v>
      </c>
    </row>
    <row r="8" spans="1:3" ht="13" x14ac:dyDescent="0.3">
      <c r="B8" s="38"/>
      <c r="C8" s="20" t="s">
        <v>1129</v>
      </c>
    </row>
    <row r="9" spans="1:3" x14ac:dyDescent="0.25">
      <c r="B9" s="38"/>
      <c r="C9" s="38" t="s">
        <v>1130</v>
      </c>
    </row>
    <row r="10" spans="1:3" x14ac:dyDescent="0.25">
      <c r="B10" s="38"/>
    </row>
    <row r="11" spans="1:3" ht="13" x14ac:dyDescent="0.3">
      <c r="B11" s="38"/>
      <c r="C11" s="20" t="s">
        <v>1133</v>
      </c>
    </row>
    <row r="12" spans="1:3" x14ac:dyDescent="0.25">
      <c r="B12" s="38"/>
    </row>
    <row r="13" spans="1:3" x14ac:dyDescent="0.25">
      <c r="B13" s="38"/>
    </row>
    <row r="14" spans="1:3" ht="13" x14ac:dyDescent="0.3">
      <c r="B14" s="38"/>
      <c r="C14" s="20" t="s">
        <v>1132</v>
      </c>
    </row>
    <row r="15" spans="1:3" x14ac:dyDescent="0.25">
      <c r="B15" s="38"/>
    </row>
    <row r="16" spans="1:3" x14ac:dyDescent="0.25">
      <c r="B16" s="38"/>
    </row>
    <row r="17" spans="2:3" x14ac:dyDescent="0.25">
      <c r="B17" s="38"/>
    </row>
    <row r="18" spans="2:3" ht="13" x14ac:dyDescent="0.3">
      <c r="B18" s="38"/>
      <c r="C18" s="20" t="s">
        <v>1131</v>
      </c>
    </row>
    <row r="19" spans="2:3" x14ac:dyDescent="0.25">
      <c r="B19" s="38"/>
    </row>
    <row r="20" spans="2:3" x14ac:dyDescent="0.25">
      <c r="B20" s="38"/>
    </row>
    <row r="21" spans="2:3" ht="13" x14ac:dyDescent="0.3">
      <c r="B21" s="38"/>
      <c r="C21" s="20" t="s">
        <v>1134</v>
      </c>
    </row>
    <row r="22" spans="2:3" x14ac:dyDescent="0.25">
      <c r="B22" s="38"/>
    </row>
    <row r="23" spans="2:3" x14ac:dyDescent="0.25">
      <c r="B23" s="38"/>
    </row>
    <row r="24" spans="2:3" ht="13" x14ac:dyDescent="0.3">
      <c r="B24" s="38"/>
      <c r="C24" s="20" t="s">
        <v>1136</v>
      </c>
    </row>
    <row r="25" spans="2:3" x14ac:dyDescent="0.25">
      <c r="B25" s="38"/>
    </row>
    <row r="26" spans="2:3" x14ac:dyDescent="0.25">
      <c r="B26" s="38"/>
    </row>
    <row r="27" spans="2:3" ht="13" x14ac:dyDescent="0.3">
      <c r="B27" s="38"/>
      <c r="C27" s="20" t="s">
        <v>1135</v>
      </c>
    </row>
    <row r="28" spans="2:3" x14ac:dyDescent="0.25">
      <c r="B28" s="38"/>
    </row>
    <row r="29" spans="2:3" x14ac:dyDescent="0.25">
      <c r="B29" s="38"/>
    </row>
    <row r="30" spans="2:3" x14ac:dyDescent="0.25">
      <c r="B30" s="38"/>
    </row>
    <row r="31" spans="2:3" ht="13" x14ac:dyDescent="0.3">
      <c r="C31" s="20" t="s">
        <v>1128</v>
      </c>
    </row>
    <row r="32" spans="2:3" x14ac:dyDescent="0.25">
      <c r="C32" s="38" t="s">
        <v>1126</v>
      </c>
    </row>
    <row r="33" spans="3:3" x14ac:dyDescent="0.25">
      <c r="C33" s="38" t="s">
        <v>1127</v>
      </c>
    </row>
  </sheetData>
  <hyperlinks>
    <hyperlink ref="A1" location="Main!A1" display="Main" xr:uid="{AB660790-6B85-44AB-9193-83C08097245F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366B-74E7-4E96-AE00-72C1B8DE44DA}">
  <dimension ref="A1:C32"/>
  <sheetViews>
    <sheetView zoomScale="190" zoomScaleNormal="190" workbookViewId="0"/>
  </sheetViews>
  <sheetFormatPr defaultRowHeight="12.5" x14ac:dyDescent="0.25"/>
  <cols>
    <col min="1" max="1" width="5" bestFit="1" customWidth="1"/>
    <col min="2" max="2" width="12.26953125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583</v>
      </c>
    </row>
    <row r="3" spans="1:3" x14ac:dyDescent="0.25">
      <c r="B3" s="38" t="s">
        <v>403</v>
      </c>
      <c r="C3" s="38" t="s">
        <v>711</v>
      </c>
    </row>
    <row r="4" spans="1:3" x14ac:dyDescent="0.25">
      <c r="B4" s="38" t="s">
        <v>1</v>
      </c>
      <c r="C4" s="38" t="s">
        <v>1138</v>
      </c>
    </row>
    <row r="5" spans="1:3" x14ac:dyDescent="0.25">
      <c r="B5" s="38" t="s">
        <v>405</v>
      </c>
      <c r="C5" s="38" t="s">
        <v>1140</v>
      </c>
    </row>
    <row r="6" spans="1:3" x14ac:dyDescent="0.25">
      <c r="B6" s="38" t="s">
        <v>868</v>
      </c>
      <c r="C6" s="38" t="s">
        <v>1151</v>
      </c>
    </row>
    <row r="7" spans="1:3" x14ac:dyDescent="0.25">
      <c r="B7" s="38" t="s">
        <v>92</v>
      </c>
    </row>
    <row r="8" spans="1:3" ht="13" x14ac:dyDescent="0.3">
      <c r="B8" s="38"/>
      <c r="C8" s="20" t="s">
        <v>1144</v>
      </c>
    </row>
    <row r="9" spans="1:3" x14ac:dyDescent="0.25">
      <c r="B9" s="38"/>
    </row>
    <row r="10" spans="1:3" ht="13" x14ac:dyDescent="0.3">
      <c r="B10" s="38"/>
      <c r="C10" s="20" t="s">
        <v>1154</v>
      </c>
    </row>
    <row r="11" spans="1:3" x14ac:dyDescent="0.25">
      <c r="B11" s="38"/>
    </row>
    <row r="12" spans="1:3" ht="13" x14ac:dyDescent="0.3">
      <c r="B12" s="38"/>
      <c r="C12" s="20" t="s">
        <v>1150</v>
      </c>
    </row>
    <row r="13" spans="1:3" x14ac:dyDescent="0.25">
      <c r="B13" s="38"/>
    </row>
    <row r="14" spans="1:3" ht="13" x14ac:dyDescent="0.3">
      <c r="B14" s="38"/>
      <c r="C14" s="20" t="s">
        <v>1153</v>
      </c>
    </row>
    <row r="15" spans="1:3" x14ac:dyDescent="0.25">
      <c r="B15" s="38"/>
    </row>
    <row r="16" spans="1:3" ht="13" x14ac:dyDescent="0.3">
      <c r="B16" s="38"/>
      <c r="C16" s="20" t="s">
        <v>1148</v>
      </c>
    </row>
    <row r="17" spans="2:3" x14ac:dyDescent="0.25">
      <c r="B17" s="38"/>
      <c r="C17" s="38" t="s">
        <v>1149</v>
      </c>
    </row>
    <row r="18" spans="2:3" x14ac:dyDescent="0.25">
      <c r="B18" s="38"/>
      <c r="C18" s="38"/>
    </row>
    <row r="19" spans="2:3" ht="13" x14ac:dyDescent="0.3">
      <c r="B19" s="38"/>
      <c r="C19" s="20" t="s">
        <v>1152</v>
      </c>
    </row>
    <row r="20" spans="2:3" x14ac:dyDescent="0.25">
      <c r="B20" s="38"/>
      <c r="C20" s="38"/>
    </row>
    <row r="21" spans="2:3" x14ac:dyDescent="0.25">
      <c r="B21" s="38"/>
      <c r="C21" s="38"/>
    </row>
    <row r="22" spans="2:3" x14ac:dyDescent="0.25">
      <c r="B22" s="38"/>
    </row>
    <row r="23" spans="2:3" ht="13" x14ac:dyDescent="0.3">
      <c r="B23" s="38"/>
      <c r="C23" s="20" t="s">
        <v>1146</v>
      </c>
    </row>
    <row r="24" spans="2:3" x14ac:dyDescent="0.25">
      <c r="B24" s="38"/>
    </row>
    <row r="25" spans="2:3" ht="13" x14ac:dyDescent="0.3">
      <c r="B25" s="38"/>
      <c r="C25" s="20" t="s">
        <v>1147</v>
      </c>
    </row>
    <row r="26" spans="2:3" x14ac:dyDescent="0.25">
      <c r="B26" s="38"/>
    </row>
    <row r="27" spans="2:3" ht="13" x14ac:dyDescent="0.3">
      <c r="B27" s="38"/>
      <c r="C27" s="20" t="s">
        <v>1145</v>
      </c>
    </row>
    <row r="28" spans="2:3" x14ac:dyDescent="0.25">
      <c r="B28" s="38"/>
    </row>
    <row r="29" spans="2:3" x14ac:dyDescent="0.25">
      <c r="B29" s="38"/>
    </row>
    <row r="30" spans="2:3" ht="13" x14ac:dyDescent="0.3">
      <c r="C30" s="20" t="s">
        <v>1143</v>
      </c>
    </row>
    <row r="31" spans="2:3" x14ac:dyDescent="0.25">
      <c r="C31" s="38" t="s">
        <v>1141</v>
      </c>
    </row>
    <row r="32" spans="2:3" x14ac:dyDescent="0.25">
      <c r="C32" s="38" t="s">
        <v>1142</v>
      </c>
    </row>
  </sheetData>
  <hyperlinks>
    <hyperlink ref="A1" location="Main!A1" display="Main" xr:uid="{4976C140-64B0-4713-A6E9-ADE3CDDB774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EAE0F-F627-47A2-AF3B-2435D15ABCE7}">
  <dimension ref="A1:C10"/>
  <sheetViews>
    <sheetView zoomScale="145" zoomScaleNormal="145" workbookViewId="0">
      <selection activeCell="C5" sqref="C5"/>
    </sheetView>
  </sheetViews>
  <sheetFormatPr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13" t="s">
        <v>6</v>
      </c>
    </row>
    <row r="2" spans="1:3" x14ac:dyDescent="0.25">
      <c r="B2" t="s">
        <v>402</v>
      </c>
      <c r="C2" s="38" t="s">
        <v>1160</v>
      </c>
    </row>
    <row r="3" spans="1:3" x14ac:dyDescent="0.25">
      <c r="B3" t="s">
        <v>403</v>
      </c>
      <c r="C3" t="s">
        <v>562</v>
      </c>
    </row>
    <row r="4" spans="1:3" x14ac:dyDescent="0.25">
      <c r="B4" t="s">
        <v>1</v>
      </c>
      <c r="C4" t="s">
        <v>518</v>
      </c>
    </row>
    <row r="5" spans="1:3" x14ac:dyDescent="0.25">
      <c r="B5" t="s">
        <v>405</v>
      </c>
      <c r="C5" t="s">
        <v>1158</v>
      </c>
    </row>
    <row r="6" spans="1:3" x14ac:dyDescent="0.25">
      <c r="C6" s="38" t="s">
        <v>1161</v>
      </c>
    </row>
    <row r="7" spans="1:3" x14ac:dyDescent="0.25">
      <c r="B7" s="38" t="s">
        <v>2</v>
      </c>
      <c r="C7" s="38" t="s">
        <v>1163</v>
      </c>
    </row>
    <row r="8" spans="1:3" x14ac:dyDescent="0.25">
      <c r="B8" s="38" t="s">
        <v>137</v>
      </c>
      <c r="C8" s="38" t="s">
        <v>1159</v>
      </c>
    </row>
    <row r="9" spans="1:3" x14ac:dyDescent="0.25">
      <c r="B9" t="s">
        <v>92</v>
      </c>
    </row>
    <row r="10" spans="1:3" ht="13" x14ac:dyDescent="0.3">
      <c r="C10" s="20" t="s">
        <v>1162</v>
      </c>
    </row>
  </sheetData>
  <hyperlinks>
    <hyperlink ref="A1" location="Main!A1" display="Main" xr:uid="{A55305EF-BC95-4576-9EEE-22BC3AA4D76C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3ED5-BCA8-4E80-84F9-0FBB8D263BB5}">
  <dimension ref="A1:C24"/>
  <sheetViews>
    <sheetView zoomScale="190" zoomScaleNormal="190" workbookViewId="0">
      <selection activeCell="C18" sqref="C18"/>
    </sheetView>
  </sheetViews>
  <sheetFormatPr defaultColWidth="8.81640625" defaultRowHeight="12.5" x14ac:dyDescent="0.25"/>
  <cols>
    <col min="1" max="1" width="5" bestFit="1" customWidth="1"/>
    <col min="2" max="2" width="18.81640625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1013</v>
      </c>
    </row>
    <row r="3" spans="1:3" x14ac:dyDescent="0.25">
      <c r="B3" s="38" t="s">
        <v>403</v>
      </c>
      <c r="C3" s="38" t="s">
        <v>880</v>
      </c>
    </row>
    <row r="4" spans="1:3" x14ac:dyDescent="0.25">
      <c r="B4" s="38" t="s">
        <v>843</v>
      </c>
      <c r="C4" s="38" t="s">
        <v>1015</v>
      </c>
    </row>
    <row r="5" spans="1:3" x14ac:dyDescent="0.25">
      <c r="C5" s="38" t="s">
        <v>881</v>
      </c>
    </row>
    <row r="6" spans="1:3" x14ac:dyDescent="0.25">
      <c r="B6" s="38" t="s">
        <v>1018</v>
      </c>
      <c r="C6" s="38" t="s">
        <v>1020</v>
      </c>
    </row>
    <row r="7" spans="1:3" x14ac:dyDescent="0.25">
      <c r="C7" s="38" t="s">
        <v>1019</v>
      </c>
    </row>
    <row r="8" spans="1:3" x14ac:dyDescent="0.25">
      <c r="C8" s="38"/>
    </row>
    <row r="9" spans="1:3" x14ac:dyDescent="0.25">
      <c r="B9" s="38" t="s">
        <v>868</v>
      </c>
      <c r="C9" s="38" t="s">
        <v>885</v>
      </c>
    </row>
    <row r="10" spans="1:3" x14ac:dyDescent="0.25">
      <c r="B10" s="38" t="s">
        <v>1012</v>
      </c>
      <c r="C10" s="38" t="s">
        <v>1014</v>
      </c>
    </row>
    <row r="11" spans="1:3" x14ac:dyDescent="0.25">
      <c r="B11" s="38" t="s">
        <v>92</v>
      </c>
    </row>
    <row r="12" spans="1:3" ht="13" x14ac:dyDescent="0.3">
      <c r="C12" s="20" t="s">
        <v>882</v>
      </c>
    </row>
    <row r="13" spans="1:3" x14ac:dyDescent="0.25">
      <c r="C13" s="38" t="s">
        <v>883</v>
      </c>
    </row>
    <row r="17" spans="3:3" ht="13" x14ac:dyDescent="0.3">
      <c r="C17" s="20" t="s">
        <v>1021</v>
      </c>
    </row>
    <row r="18" spans="3:3" x14ac:dyDescent="0.25">
      <c r="C18" s="38" t="s">
        <v>884</v>
      </c>
    </row>
    <row r="21" spans="3:3" ht="13" x14ac:dyDescent="0.3">
      <c r="C21" s="20" t="s">
        <v>1017</v>
      </c>
    </row>
    <row r="24" spans="3:3" ht="13" x14ac:dyDescent="0.3">
      <c r="C24" s="20" t="s">
        <v>1016</v>
      </c>
    </row>
  </sheetData>
  <hyperlinks>
    <hyperlink ref="A1" location="Main!A1" display="Main" xr:uid="{9693A0F2-2B50-4A6F-89D1-AECB18BE730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F13F-7BA0-5247-AC73-17E84DF02A95}">
  <dimension ref="A1:C26"/>
  <sheetViews>
    <sheetView zoomScale="145" zoomScaleNormal="145" workbookViewId="0"/>
  </sheetViews>
  <sheetFormatPr defaultColWidth="11.453125" defaultRowHeight="12.5" x14ac:dyDescent="0.25"/>
  <cols>
    <col min="1" max="1" width="5.453125" customWidth="1"/>
    <col min="2" max="2" width="13" bestFit="1" customWidth="1"/>
  </cols>
  <sheetData>
    <row r="1" spans="1:3" x14ac:dyDescent="0.25">
      <c r="A1" s="13" t="s">
        <v>6</v>
      </c>
    </row>
    <row r="2" spans="1:3" x14ac:dyDescent="0.25">
      <c r="B2" s="38" t="s">
        <v>50</v>
      </c>
      <c r="C2" s="38" t="s">
        <v>841</v>
      </c>
    </row>
    <row r="3" spans="1:3" x14ac:dyDescent="0.25">
      <c r="B3" s="38" t="s">
        <v>48</v>
      </c>
      <c r="C3" s="38" t="s">
        <v>481</v>
      </c>
    </row>
    <row r="4" spans="1:3" x14ac:dyDescent="0.25">
      <c r="B4" s="38" t="s">
        <v>405</v>
      </c>
      <c r="C4" s="38" t="s">
        <v>842</v>
      </c>
    </row>
    <row r="5" spans="1:3" x14ac:dyDescent="0.25">
      <c r="B5" s="38" t="s">
        <v>843</v>
      </c>
      <c r="C5" s="38" t="s">
        <v>844</v>
      </c>
    </row>
    <row r="6" spans="1:3" x14ac:dyDescent="0.25">
      <c r="B6" s="38"/>
      <c r="C6" s="38" t="s">
        <v>848</v>
      </c>
    </row>
    <row r="7" spans="1:3" x14ac:dyDescent="0.25">
      <c r="B7" s="38"/>
      <c r="C7" s="38" t="s">
        <v>872</v>
      </c>
    </row>
    <row r="8" spans="1:3" x14ac:dyDescent="0.25">
      <c r="B8" s="38"/>
      <c r="C8" s="38" t="s">
        <v>871</v>
      </c>
    </row>
    <row r="9" spans="1:3" x14ac:dyDescent="0.25">
      <c r="B9" s="38"/>
      <c r="C9" s="38" t="s">
        <v>1009</v>
      </c>
    </row>
    <row r="10" spans="1:3" x14ac:dyDescent="0.25">
      <c r="B10" s="38" t="s">
        <v>92</v>
      </c>
    </row>
    <row r="11" spans="1:3" ht="13" x14ac:dyDescent="0.3">
      <c r="C11" s="20" t="s">
        <v>874</v>
      </c>
    </row>
    <row r="12" spans="1:3" x14ac:dyDescent="0.25">
      <c r="C12" s="38" t="s">
        <v>845</v>
      </c>
    </row>
    <row r="13" spans="1:3" x14ac:dyDescent="0.25">
      <c r="C13" s="38" t="s">
        <v>846</v>
      </c>
    </row>
    <row r="14" spans="1:3" x14ac:dyDescent="0.25">
      <c r="C14" s="38" t="s">
        <v>850</v>
      </c>
    </row>
    <row r="15" spans="1:3" x14ac:dyDescent="0.25">
      <c r="C15" s="38" t="s">
        <v>851</v>
      </c>
    </row>
    <row r="16" spans="1:3" x14ac:dyDescent="0.25">
      <c r="C16" s="38" t="s">
        <v>852</v>
      </c>
    </row>
    <row r="17" spans="3:3" x14ac:dyDescent="0.25">
      <c r="C17" s="38"/>
    </row>
    <row r="18" spans="3:3" ht="13" x14ac:dyDescent="0.3">
      <c r="C18" s="20" t="s">
        <v>849</v>
      </c>
    </row>
    <row r="19" spans="3:3" x14ac:dyDescent="0.25">
      <c r="C19" s="38" t="s">
        <v>847</v>
      </c>
    </row>
    <row r="20" spans="3:3" x14ac:dyDescent="0.25">
      <c r="C20" s="38" t="s">
        <v>850</v>
      </c>
    </row>
    <row r="23" spans="3:3" x14ac:dyDescent="0.25">
      <c r="C23" s="38" t="s">
        <v>875</v>
      </c>
    </row>
    <row r="24" spans="3:3" x14ac:dyDescent="0.25">
      <c r="C24" s="38" t="s">
        <v>876</v>
      </c>
    </row>
    <row r="26" spans="3:3" ht="13" x14ac:dyDescent="0.3">
      <c r="C26" s="20" t="s">
        <v>997</v>
      </c>
    </row>
  </sheetData>
  <hyperlinks>
    <hyperlink ref="A1" location="Main!A1" display="Main" xr:uid="{87D2214E-6297-804B-97B9-9124280D58AC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930F-3EB1-4712-BDAA-FB63811AE0A6}">
  <dimension ref="A1:C25"/>
  <sheetViews>
    <sheetView zoomScale="220" zoomScaleNormal="220" workbookViewId="0"/>
  </sheetViews>
  <sheetFormatPr defaultColWidth="8.81640625" defaultRowHeight="12.5" x14ac:dyDescent="0.25"/>
  <cols>
    <col min="1" max="1" width="5" bestFit="1" customWidth="1"/>
    <col min="2" max="2" width="12.453125" bestFit="1" customWidth="1"/>
  </cols>
  <sheetData>
    <row r="1" spans="1:3" x14ac:dyDescent="0.25">
      <c r="A1" s="13" t="s">
        <v>6</v>
      </c>
    </row>
    <row r="2" spans="1:3" x14ac:dyDescent="0.25">
      <c r="B2" s="38" t="s">
        <v>403</v>
      </c>
      <c r="C2" s="38" t="s">
        <v>899</v>
      </c>
    </row>
    <row r="3" spans="1:3" x14ac:dyDescent="0.25">
      <c r="B3" s="38" t="s">
        <v>51</v>
      </c>
      <c r="C3" s="38" t="s">
        <v>900</v>
      </c>
    </row>
    <row r="4" spans="1:3" x14ac:dyDescent="0.25">
      <c r="B4" s="38" t="s">
        <v>868</v>
      </c>
      <c r="C4" s="38" t="s">
        <v>904</v>
      </c>
    </row>
    <row r="5" spans="1:3" x14ac:dyDescent="0.25">
      <c r="B5" s="38" t="s">
        <v>92</v>
      </c>
    </row>
    <row r="6" spans="1:3" ht="13" x14ac:dyDescent="0.3">
      <c r="C6" s="20" t="s">
        <v>923</v>
      </c>
    </row>
    <row r="7" spans="1:3" x14ac:dyDescent="0.25">
      <c r="C7" s="38" t="s">
        <v>901</v>
      </c>
    </row>
    <row r="8" spans="1:3" x14ac:dyDescent="0.25">
      <c r="C8" s="38" t="s">
        <v>902</v>
      </c>
    </row>
    <row r="10" spans="1:3" ht="13" x14ac:dyDescent="0.3">
      <c r="C10" s="20" t="s">
        <v>938</v>
      </c>
    </row>
    <row r="11" spans="1:3" x14ac:dyDescent="0.25">
      <c r="C11" s="38" t="s">
        <v>935</v>
      </c>
    </row>
    <row r="12" spans="1:3" x14ac:dyDescent="0.25">
      <c r="C12" s="38" t="s">
        <v>936</v>
      </c>
    </row>
    <row r="13" spans="1:3" x14ac:dyDescent="0.25">
      <c r="C13" s="38" t="s">
        <v>937</v>
      </c>
    </row>
    <row r="15" spans="1:3" ht="13" x14ac:dyDescent="0.3">
      <c r="C15" s="20" t="s">
        <v>932</v>
      </c>
    </row>
    <row r="16" spans="1:3" x14ac:dyDescent="0.25">
      <c r="C16" s="38" t="s">
        <v>924</v>
      </c>
    </row>
    <row r="17" spans="3:3" x14ac:dyDescent="0.25">
      <c r="C17" s="38" t="s">
        <v>925</v>
      </c>
    </row>
    <row r="18" spans="3:3" x14ac:dyDescent="0.25">
      <c r="C18" s="38" t="s">
        <v>926</v>
      </c>
    </row>
    <row r="19" spans="3:3" x14ac:dyDescent="0.25">
      <c r="C19" s="38" t="s">
        <v>930</v>
      </c>
    </row>
    <row r="21" spans="3:3" ht="13" x14ac:dyDescent="0.3">
      <c r="C21" s="20" t="s">
        <v>933</v>
      </c>
    </row>
    <row r="22" spans="3:3" x14ac:dyDescent="0.25">
      <c r="C22" s="38" t="s">
        <v>927</v>
      </c>
    </row>
    <row r="23" spans="3:3" x14ac:dyDescent="0.25">
      <c r="C23" s="38" t="s">
        <v>928</v>
      </c>
    </row>
    <row r="24" spans="3:3" x14ac:dyDescent="0.25">
      <c r="C24" s="38" t="s">
        <v>929</v>
      </c>
    </row>
    <row r="25" spans="3:3" x14ac:dyDescent="0.25">
      <c r="C25" s="38" t="s">
        <v>931</v>
      </c>
    </row>
  </sheetData>
  <hyperlinks>
    <hyperlink ref="A1" location="Main!A1" display="Main" xr:uid="{EA9B89D4-5B8D-4096-BD73-9A12B820428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8D26-624D-4B43-9AC7-2D8A86C7D533}">
  <dimension ref="A1:C10"/>
  <sheetViews>
    <sheetView zoomScale="220" zoomScaleNormal="220" workbookViewId="0"/>
  </sheetViews>
  <sheetFormatPr defaultColWidth="8.81640625" defaultRowHeight="12.5" x14ac:dyDescent="0.25"/>
  <cols>
    <col min="1" max="1" width="5" bestFit="1" customWidth="1"/>
    <col min="2" max="2" width="12" bestFit="1" customWidth="1"/>
    <col min="3" max="3" width="11.7265625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1027</v>
      </c>
    </row>
    <row r="3" spans="1:3" x14ac:dyDescent="0.25">
      <c r="B3" s="38" t="s">
        <v>403</v>
      </c>
      <c r="C3" s="38" t="s">
        <v>998</v>
      </c>
    </row>
    <row r="4" spans="1:3" x14ac:dyDescent="0.25">
      <c r="B4" s="38" t="s">
        <v>1</v>
      </c>
      <c r="C4" s="38" t="s">
        <v>487</v>
      </c>
    </row>
    <row r="5" spans="1:3" x14ac:dyDescent="0.25">
      <c r="B5" s="38" t="s">
        <v>405</v>
      </c>
      <c r="C5" s="38" t="s">
        <v>1022</v>
      </c>
    </row>
    <row r="6" spans="1:3" x14ac:dyDescent="0.25">
      <c r="B6" s="38" t="s">
        <v>92</v>
      </c>
    </row>
    <row r="7" spans="1:3" ht="13" x14ac:dyDescent="0.3">
      <c r="C7" s="20" t="s">
        <v>1023</v>
      </c>
    </row>
    <row r="8" spans="1:3" x14ac:dyDescent="0.25">
      <c r="C8" s="38" t="s">
        <v>1024</v>
      </c>
    </row>
    <row r="9" spans="1:3" x14ac:dyDescent="0.25">
      <c r="C9" s="38" t="s">
        <v>1025</v>
      </c>
    </row>
    <row r="10" spans="1:3" x14ac:dyDescent="0.25">
      <c r="C10" s="38" t="s">
        <v>1026</v>
      </c>
    </row>
  </sheetData>
  <hyperlinks>
    <hyperlink ref="A1" location="Main!A1" display="Main" xr:uid="{F2611367-F0FE-446D-9CDB-34504B085753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C13E-AC01-4230-8981-1EAE8EA42349}">
  <dimension ref="A1:C34"/>
  <sheetViews>
    <sheetView zoomScale="205" zoomScaleNormal="205" workbookViewId="0">
      <selection activeCell="C21" sqref="C21"/>
    </sheetView>
  </sheetViews>
  <sheetFormatPr defaultColWidth="8.81640625" defaultRowHeight="12.5" x14ac:dyDescent="0.25"/>
  <cols>
    <col min="1" max="1" width="5" bestFit="1" customWidth="1"/>
    <col min="2" max="2" width="12.1796875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853</v>
      </c>
    </row>
    <row r="3" spans="1:3" x14ac:dyDescent="0.25">
      <c r="B3" s="38" t="s">
        <v>403</v>
      </c>
      <c r="C3" s="38" t="s">
        <v>854</v>
      </c>
    </row>
    <row r="4" spans="1:3" x14ac:dyDescent="0.25">
      <c r="B4" s="38" t="s">
        <v>1</v>
      </c>
      <c r="C4" s="38" t="s">
        <v>467</v>
      </c>
    </row>
    <row r="5" spans="1:3" x14ac:dyDescent="0.25">
      <c r="B5" s="38" t="s">
        <v>51</v>
      </c>
      <c r="C5" s="38" t="s">
        <v>522</v>
      </c>
    </row>
    <row r="6" spans="1:3" x14ac:dyDescent="0.25">
      <c r="B6" s="38" t="s">
        <v>843</v>
      </c>
      <c r="C6" s="38" t="s">
        <v>870</v>
      </c>
    </row>
    <row r="7" spans="1:3" x14ac:dyDescent="0.25">
      <c r="B7" s="38" t="s">
        <v>2</v>
      </c>
      <c r="C7" s="38" t="s">
        <v>862</v>
      </c>
    </row>
    <row r="8" spans="1:3" x14ac:dyDescent="0.25">
      <c r="B8" s="38" t="s">
        <v>868</v>
      </c>
      <c r="C8" s="38" t="s">
        <v>869</v>
      </c>
    </row>
    <row r="9" spans="1:3" x14ac:dyDescent="0.25">
      <c r="B9" s="38" t="s">
        <v>92</v>
      </c>
    </row>
    <row r="10" spans="1:3" ht="13" x14ac:dyDescent="0.3">
      <c r="C10" s="20" t="s">
        <v>866</v>
      </c>
    </row>
    <row r="11" spans="1:3" x14ac:dyDescent="0.25">
      <c r="C11" s="38" t="s">
        <v>855</v>
      </c>
    </row>
    <row r="13" spans="1:3" x14ac:dyDescent="0.25">
      <c r="C13" s="38" t="s">
        <v>856</v>
      </c>
    </row>
    <row r="14" spans="1:3" x14ac:dyDescent="0.25">
      <c r="C14" s="38" t="s">
        <v>859</v>
      </c>
    </row>
    <row r="15" spans="1:3" x14ac:dyDescent="0.25">
      <c r="C15" s="38" t="s">
        <v>860</v>
      </c>
    </row>
    <row r="16" spans="1:3" x14ac:dyDescent="0.25">
      <c r="C16" s="38"/>
    </row>
    <row r="17" spans="3:3" x14ac:dyDescent="0.25">
      <c r="C17" s="38" t="s">
        <v>861</v>
      </c>
    </row>
    <row r="19" spans="3:3" ht="13" x14ac:dyDescent="0.3">
      <c r="C19" s="20" t="s">
        <v>857</v>
      </c>
    </row>
    <row r="20" spans="3:3" x14ac:dyDescent="0.25">
      <c r="C20" s="38" t="s">
        <v>896</v>
      </c>
    </row>
    <row r="22" spans="3:3" ht="13" x14ac:dyDescent="0.3">
      <c r="C22" s="20" t="s">
        <v>858</v>
      </c>
    </row>
    <row r="25" spans="3:3" ht="13" x14ac:dyDescent="0.3">
      <c r="C25" s="20" t="s">
        <v>863</v>
      </c>
    </row>
    <row r="28" spans="3:3" x14ac:dyDescent="0.25">
      <c r="C28" s="38" t="s">
        <v>865</v>
      </c>
    </row>
    <row r="29" spans="3:3" x14ac:dyDescent="0.25">
      <c r="C29" s="38"/>
    </row>
    <row r="30" spans="3:3" ht="13" x14ac:dyDescent="0.3">
      <c r="C30" s="20" t="s">
        <v>892</v>
      </c>
    </row>
    <row r="31" spans="3:3" x14ac:dyDescent="0.25">
      <c r="C31" s="38" t="s">
        <v>891</v>
      </c>
    </row>
    <row r="32" spans="3:3" x14ac:dyDescent="0.25">
      <c r="C32" s="38"/>
    </row>
    <row r="33" spans="3:3" x14ac:dyDescent="0.25">
      <c r="C33" s="38"/>
    </row>
    <row r="34" spans="3:3" x14ac:dyDescent="0.25">
      <c r="C34" s="38" t="s">
        <v>864</v>
      </c>
    </row>
  </sheetData>
  <hyperlinks>
    <hyperlink ref="A1" location="Main!A1" display="Main" xr:uid="{652851E6-62CC-402C-96E3-58BB3CBA7256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1BD3-8B5C-3343-8EF1-90DCFD041D8E}">
  <dimension ref="A1:C18"/>
  <sheetViews>
    <sheetView zoomScale="175" zoomScaleNormal="175" workbookViewId="0"/>
  </sheetViews>
  <sheetFormatPr defaultColWidth="11.453125" defaultRowHeight="12.5" x14ac:dyDescent="0.25"/>
  <cols>
    <col min="1" max="1" width="4.81640625" bestFit="1" customWidth="1"/>
    <col min="2" max="2" width="11.453125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530</v>
      </c>
    </row>
    <row r="3" spans="1:3" x14ac:dyDescent="0.25">
      <c r="B3" s="38" t="s">
        <v>403</v>
      </c>
      <c r="C3" t="s">
        <v>532</v>
      </c>
    </row>
    <row r="4" spans="1:3" x14ac:dyDescent="0.25">
      <c r="B4" s="38" t="s">
        <v>1</v>
      </c>
      <c r="C4" s="38" t="s">
        <v>550</v>
      </c>
    </row>
    <row r="5" spans="1:3" x14ac:dyDescent="0.25">
      <c r="B5" s="38" t="s">
        <v>405</v>
      </c>
      <c r="C5" s="38" t="s">
        <v>534</v>
      </c>
    </row>
    <row r="6" spans="1:3" x14ac:dyDescent="0.25">
      <c r="B6" s="38" t="s">
        <v>539</v>
      </c>
      <c r="C6" s="38" t="s">
        <v>540</v>
      </c>
    </row>
    <row r="7" spans="1:3" x14ac:dyDescent="0.25">
      <c r="B7" s="38" t="s">
        <v>92</v>
      </c>
    </row>
    <row r="8" spans="1:3" ht="13" x14ac:dyDescent="0.3">
      <c r="B8" s="38"/>
      <c r="C8" s="20" t="s">
        <v>1030</v>
      </c>
    </row>
    <row r="9" spans="1:3" x14ac:dyDescent="0.25">
      <c r="B9" s="38"/>
    </row>
    <row r="10" spans="1:3" ht="13" x14ac:dyDescent="0.3">
      <c r="B10" s="38"/>
      <c r="C10" s="20" t="s">
        <v>1032</v>
      </c>
    </row>
    <row r="11" spans="1:3" x14ac:dyDescent="0.25">
      <c r="B11" s="38"/>
      <c r="C11" s="38" t="s">
        <v>1031</v>
      </c>
    </row>
    <row r="12" spans="1:3" x14ac:dyDescent="0.25">
      <c r="B12" s="38"/>
      <c r="C12" s="38" t="s">
        <v>1033</v>
      </c>
    </row>
    <row r="13" spans="1:3" x14ac:dyDescent="0.25">
      <c r="B13" s="38"/>
      <c r="C13" s="38"/>
    </row>
    <row r="14" spans="1:3" x14ac:dyDescent="0.25">
      <c r="B14" s="38"/>
    </row>
    <row r="15" spans="1:3" ht="13" x14ac:dyDescent="0.3">
      <c r="C15" s="20" t="s">
        <v>535</v>
      </c>
    </row>
    <row r="16" spans="1:3" x14ac:dyDescent="0.25">
      <c r="C16" s="38" t="s">
        <v>536</v>
      </c>
    </row>
    <row r="17" spans="3:3" x14ac:dyDescent="0.25">
      <c r="C17" s="38" t="s">
        <v>537</v>
      </c>
    </row>
    <row r="18" spans="3:3" x14ac:dyDescent="0.25">
      <c r="C18" s="38" t="s">
        <v>538</v>
      </c>
    </row>
  </sheetData>
  <hyperlinks>
    <hyperlink ref="A1" location="Main!A1" display="Main" xr:uid="{79333082-8234-6240-B502-1D833F62D5D3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98A1-4E81-884A-9C94-476435E9AA78}">
  <dimension ref="A1:C6"/>
  <sheetViews>
    <sheetView workbookViewId="0"/>
  </sheetViews>
  <sheetFormatPr defaultColWidth="11.453125" defaultRowHeight="12.5" x14ac:dyDescent="0.25"/>
  <cols>
    <col min="1" max="1" width="4.81640625" bestFit="1" customWidth="1"/>
  </cols>
  <sheetData>
    <row r="1" spans="1:3" x14ac:dyDescent="0.25">
      <c r="A1" s="13" t="s">
        <v>6</v>
      </c>
    </row>
    <row r="2" spans="1:3" x14ac:dyDescent="0.25">
      <c r="A2" s="38"/>
      <c r="B2" s="38" t="s">
        <v>402</v>
      </c>
      <c r="C2" s="38" t="s">
        <v>369</v>
      </c>
    </row>
    <row r="3" spans="1:3" x14ac:dyDescent="0.25">
      <c r="B3" s="38" t="s">
        <v>403</v>
      </c>
    </row>
    <row r="4" spans="1:3" x14ac:dyDescent="0.25">
      <c r="B4" s="38" t="s">
        <v>1</v>
      </c>
    </row>
    <row r="5" spans="1:3" x14ac:dyDescent="0.25">
      <c r="B5" s="38" t="s">
        <v>92</v>
      </c>
    </row>
    <row r="6" spans="1:3" ht="13" x14ac:dyDescent="0.3">
      <c r="C6" s="20" t="s">
        <v>553</v>
      </c>
    </row>
  </sheetData>
  <hyperlinks>
    <hyperlink ref="A1" location="Main!A1" display="Main" xr:uid="{EBEB0D47-264D-9B4A-BA66-BA2B94F47B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A3AB-A41C-43F8-982C-39CB370BD137}">
  <dimension ref="A1:E2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4" sqref="D4"/>
    </sheetView>
  </sheetViews>
  <sheetFormatPr defaultColWidth="8.81640625" defaultRowHeight="12.5" x14ac:dyDescent="0.25"/>
  <cols>
    <col min="1" max="1" width="5" bestFit="1" customWidth="1"/>
    <col min="2" max="2" width="10.26953125" customWidth="1"/>
  </cols>
  <sheetData>
    <row r="1" spans="1:5" x14ac:dyDescent="0.25">
      <c r="A1" s="13" t="s">
        <v>6</v>
      </c>
    </row>
    <row r="2" spans="1:5" x14ac:dyDescent="0.25">
      <c r="B2" s="38" t="s">
        <v>941</v>
      </c>
      <c r="C2" s="38" t="s">
        <v>942</v>
      </c>
      <c r="D2" s="38" t="s">
        <v>405</v>
      </c>
      <c r="E2" s="38" t="s">
        <v>944</v>
      </c>
    </row>
    <row r="3" spans="1:5" x14ac:dyDescent="0.25">
      <c r="B3" s="117">
        <v>12269857</v>
      </c>
      <c r="C3" s="38" t="s">
        <v>1156</v>
      </c>
      <c r="D3" s="38"/>
      <c r="E3" s="38"/>
    </row>
    <row r="4" spans="1:5" x14ac:dyDescent="0.25">
      <c r="B4" s="117">
        <v>12252524</v>
      </c>
      <c r="C4" s="38" t="s">
        <v>1157</v>
      </c>
      <c r="D4" s="38"/>
      <c r="E4" s="38"/>
    </row>
    <row r="5" spans="1:5" x14ac:dyDescent="0.25">
      <c r="B5">
        <v>12122750</v>
      </c>
      <c r="C5" s="38" t="s">
        <v>945</v>
      </c>
      <c r="D5" s="38" t="s">
        <v>943</v>
      </c>
      <c r="E5" s="38" t="s">
        <v>194</v>
      </c>
    </row>
    <row r="6" spans="1:5" x14ac:dyDescent="0.25">
      <c r="B6">
        <v>12115210</v>
      </c>
      <c r="C6" s="38" t="s">
        <v>946</v>
      </c>
      <c r="D6" s="38" t="s">
        <v>947</v>
      </c>
      <c r="E6" s="38" t="s">
        <v>948</v>
      </c>
    </row>
    <row r="7" spans="1:5" x14ac:dyDescent="0.25">
      <c r="B7">
        <v>12102610</v>
      </c>
      <c r="C7" s="38" t="s">
        <v>949</v>
      </c>
      <c r="D7" s="38" t="s">
        <v>950</v>
      </c>
    </row>
    <row r="8" spans="1:5" x14ac:dyDescent="0.25">
      <c r="B8">
        <v>12083324</v>
      </c>
      <c r="C8" s="110"/>
      <c r="D8" s="38"/>
      <c r="E8" s="38"/>
    </row>
    <row r="9" spans="1:5" x14ac:dyDescent="0.25">
      <c r="B9">
        <v>12071423</v>
      </c>
      <c r="C9" s="110" t="s">
        <v>952</v>
      </c>
      <c r="D9" s="38" t="s">
        <v>951</v>
      </c>
      <c r="E9" s="38" t="s">
        <v>956</v>
      </c>
    </row>
    <row r="10" spans="1:5" x14ac:dyDescent="0.25">
      <c r="B10">
        <v>12060356</v>
      </c>
      <c r="C10" s="110" t="s">
        <v>954</v>
      </c>
      <c r="D10" s="38" t="s">
        <v>955</v>
      </c>
      <c r="E10" s="38" t="s">
        <v>445</v>
      </c>
    </row>
    <row r="11" spans="1:5" x14ac:dyDescent="0.25">
      <c r="B11">
        <v>12059557</v>
      </c>
      <c r="C11" s="38" t="s">
        <v>957</v>
      </c>
    </row>
    <row r="12" spans="1:5" x14ac:dyDescent="0.25">
      <c r="B12">
        <v>12059452</v>
      </c>
      <c r="C12" s="38" t="s">
        <v>953</v>
      </c>
      <c r="D12" s="38" t="s">
        <v>117</v>
      </c>
    </row>
    <row r="13" spans="1:5" x14ac:dyDescent="0.25">
      <c r="B13">
        <v>12042634</v>
      </c>
      <c r="C13" s="110" t="s">
        <v>959</v>
      </c>
    </row>
    <row r="14" spans="1:5" x14ac:dyDescent="0.25">
      <c r="B14">
        <v>12037406</v>
      </c>
      <c r="C14" s="110" t="s">
        <v>958</v>
      </c>
    </row>
    <row r="15" spans="1:5" x14ac:dyDescent="0.25">
      <c r="B15">
        <v>12037387</v>
      </c>
      <c r="C15" s="110" t="s">
        <v>960</v>
      </c>
    </row>
    <row r="16" spans="1:5" x14ac:dyDescent="0.25">
      <c r="B16">
        <v>12037322</v>
      </c>
      <c r="C16" s="38" t="s">
        <v>961</v>
      </c>
    </row>
    <row r="17" spans="2:3" x14ac:dyDescent="0.25">
      <c r="B17">
        <v>12023470</v>
      </c>
      <c r="C17" s="38" t="s">
        <v>962</v>
      </c>
    </row>
    <row r="18" spans="2:3" x14ac:dyDescent="0.25">
      <c r="B18">
        <v>12011574</v>
      </c>
      <c r="C18" s="38" t="s">
        <v>963</v>
      </c>
    </row>
    <row r="19" spans="2:3" x14ac:dyDescent="0.25">
      <c r="B19">
        <v>12005235</v>
      </c>
      <c r="C19" s="38" t="s">
        <v>964</v>
      </c>
    </row>
    <row r="20" spans="2:3" x14ac:dyDescent="0.25">
      <c r="B20">
        <v>11999722</v>
      </c>
      <c r="C20" s="38" t="s">
        <v>965</v>
      </c>
    </row>
    <row r="21" spans="2:3" x14ac:dyDescent="0.25">
      <c r="B21">
        <v>11993608</v>
      </c>
      <c r="C21" s="38" t="s">
        <v>966</v>
      </c>
    </row>
    <row r="22" spans="2:3" x14ac:dyDescent="0.25">
      <c r="B22">
        <v>11976136</v>
      </c>
      <c r="C22" s="38" t="s">
        <v>967</v>
      </c>
    </row>
    <row r="23" spans="2:3" x14ac:dyDescent="0.25">
      <c r="B23">
        <v>11976114</v>
      </c>
      <c r="C23" s="38" t="s">
        <v>968</v>
      </c>
    </row>
    <row r="24" spans="2:3" x14ac:dyDescent="0.25">
      <c r="B24">
        <v>11970485</v>
      </c>
      <c r="C24" s="38" t="s">
        <v>969</v>
      </c>
    </row>
    <row r="25" spans="2:3" x14ac:dyDescent="0.25">
      <c r="B25">
        <v>11964968</v>
      </c>
      <c r="C25" s="38" t="s">
        <v>970</v>
      </c>
    </row>
    <row r="26" spans="2:3" x14ac:dyDescent="0.25">
      <c r="B26">
        <v>11957882</v>
      </c>
      <c r="C26" s="38" t="s">
        <v>971</v>
      </c>
    </row>
  </sheetData>
  <hyperlinks>
    <hyperlink ref="A1" location="Main!A1" display="Main" xr:uid="{A037D50A-F0A1-41C1-AAB6-10C8CC26E58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B3FB9-B15A-4F98-8C4A-73D3F1A15955}">
  <dimension ref="A1:C11"/>
  <sheetViews>
    <sheetView zoomScale="160" zoomScaleNormal="160" workbookViewId="0"/>
  </sheetViews>
  <sheetFormatPr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1050</v>
      </c>
    </row>
    <row r="3" spans="1:3" x14ac:dyDescent="0.25">
      <c r="B3" s="38" t="s">
        <v>403</v>
      </c>
      <c r="C3" s="38" t="s">
        <v>713</v>
      </c>
    </row>
    <row r="4" spans="1:3" x14ac:dyDescent="0.25">
      <c r="B4" s="38" t="s">
        <v>1</v>
      </c>
      <c r="C4" s="38" t="s">
        <v>1053</v>
      </c>
    </row>
    <row r="5" spans="1:3" x14ac:dyDescent="0.25">
      <c r="B5" s="38" t="s">
        <v>405</v>
      </c>
      <c r="C5" s="38" t="s">
        <v>1052</v>
      </c>
    </row>
    <row r="6" spans="1:3" x14ac:dyDescent="0.25">
      <c r="B6" s="38" t="s">
        <v>868</v>
      </c>
      <c r="C6" s="38" t="s">
        <v>1045</v>
      </c>
    </row>
    <row r="7" spans="1:3" x14ac:dyDescent="0.25">
      <c r="B7" s="38" t="s">
        <v>3</v>
      </c>
      <c r="C7" s="38" t="s">
        <v>1054</v>
      </c>
    </row>
    <row r="8" spans="1:3" x14ac:dyDescent="0.25">
      <c r="B8" s="38" t="s">
        <v>92</v>
      </c>
    </row>
    <row r="9" spans="1:3" ht="13" x14ac:dyDescent="0.3">
      <c r="C9" s="20" t="s">
        <v>1051</v>
      </c>
    </row>
    <row r="10" spans="1:3" x14ac:dyDescent="0.25">
      <c r="C10" s="38" t="s">
        <v>1046</v>
      </c>
    </row>
    <row r="11" spans="1:3" x14ac:dyDescent="0.25">
      <c r="C11" s="38" t="s">
        <v>1047</v>
      </c>
    </row>
  </sheetData>
  <hyperlinks>
    <hyperlink ref="A1" location="Main!A1" display="Main" xr:uid="{67E4F80C-C952-4C98-BF97-C216EB27A1FA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defaultColWidth="8.81640625" defaultRowHeight="12.5" x14ac:dyDescent="0.25"/>
  <cols>
    <col min="1" max="1" width="5" bestFit="1" customWidth="1"/>
    <col min="2" max="2" width="13.54296875" customWidth="1"/>
  </cols>
  <sheetData>
    <row r="1" spans="1:3" x14ac:dyDescent="0.25">
      <c r="A1" s="13" t="s">
        <v>6</v>
      </c>
      <c r="B1" s="13"/>
    </row>
    <row r="2" spans="1:3" x14ac:dyDescent="0.25">
      <c r="A2" s="13"/>
      <c r="B2" t="s">
        <v>50</v>
      </c>
      <c r="C2" t="s">
        <v>19</v>
      </c>
    </row>
    <row r="3" spans="1:3" x14ac:dyDescent="0.25">
      <c r="A3" s="13"/>
      <c r="B3" t="s">
        <v>48</v>
      </c>
      <c r="C3" t="s">
        <v>228</v>
      </c>
    </row>
    <row r="4" spans="1:3" x14ac:dyDescent="0.25">
      <c r="A4" s="13"/>
      <c r="B4" t="s">
        <v>4</v>
      </c>
      <c r="C4" s="38" t="s">
        <v>255</v>
      </c>
    </row>
    <row r="5" spans="1:3" x14ac:dyDescent="0.25">
      <c r="B5" t="s">
        <v>92</v>
      </c>
    </row>
    <row r="6" spans="1:3" x14ac:dyDescent="0.25">
      <c r="C6" t="s">
        <v>12</v>
      </c>
    </row>
    <row r="7" spans="1:3" x14ac:dyDescent="0.25">
      <c r="C7" t="s">
        <v>33</v>
      </c>
    </row>
    <row r="8" spans="1:3" x14ac:dyDescent="0.25">
      <c r="C8" t="s">
        <v>34</v>
      </c>
    </row>
    <row r="12" spans="1:3" ht="13" x14ac:dyDescent="0.3">
      <c r="C12" s="20" t="s">
        <v>252</v>
      </c>
    </row>
    <row r="13" spans="1:3" x14ac:dyDescent="0.25">
      <c r="C13" s="38" t="s">
        <v>253</v>
      </c>
    </row>
    <row r="14" spans="1:3" x14ac:dyDescent="0.25">
      <c r="C14" s="13" t="s">
        <v>254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ColWidth="8.81640625" defaultRowHeight="12.5" x14ac:dyDescent="0.25"/>
  <cols>
    <col min="1" max="1" width="6.1796875" customWidth="1"/>
    <col min="2" max="2" width="12" bestFit="1" customWidth="1"/>
  </cols>
  <sheetData>
    <row r="1" spans="1:3" x14ac:dyDescent="0.25">
      <c r="A1" s="13" t="s">
        <v>6</v>
      </c>
    </row>
    <row r="2" spans="1:3" x14ac:dyDescent="0.25">
      <c r="B2" t="s">
        <v>50</v>
      </c>
      <c r="C2" t="s">
        <v>14</v>
      </c>
    </row>
    <row r="3" spans="1:3" x14ac:dyDescent="0.25">
      <c r="B3" t="s">
        <v>3</v>
      </c>
      <c r="C3" t="s">
        <v>231</v>
      </c>
    </row>
    <row r="4" spans="1:3" x14ac:dyDescent="0.25">
      <c r="B4" t="s">
        <v>2</v>
      </c>
      <c r="C4" t="s">
        <v>278</v>
      </c>
    </row>
    <row r="5" spans="1:3" x14ac:dyDescent="0.25">
      <c r="B5" t="s">
        <v>92</v>
      </c>
    </row>
    <row r="6" spans="1:3" ht="13" x14ac:dyDescent="0.3">
      <c r="C6" s="20" t="s">
        <v>232</v>
      </c>
    </row>
    <row r="7" spans="1:3" x14ac:dyDescent="0.25">
      <c r="C7" t="s">
        <v>233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2788-08DE-7B43-AA2B-8219988B4D77}">
  <dimension ref="A1:C3"/>
  <sheetViews>
    <sheetView workbookViewId="0"/>
  </sheetViews>
  <sheetFormatPr defaultColWidth="11.453125" defaultRowHeight="12.5" x14ac:dyDescent="0.25"/>
  <cols>
    <col min="1" max="1" width="4.81640625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560</v>
      </c>
    </row>
    <row r="3" spans="1:3" x14ac:dyDescent="0.25">
      <c r="B3" s="38" t="s">
        <v>403</v>
      </c>
    </row>
  </sheetData>
  <hyperlinks>
    <hyperlink ref="A1" location="Main!A1" display="Main" xr:uid="{01CFFC24-E4F2-2E4F-B9CB-2E1D60D6F9CB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ColWidth="8.81640625" defaultRowHeight="12.5" x14ac:dyDescent="0.25"/>
  <cols>
    <col min="1" max="1" width="5" bestFit="1" customWidth="1"/>
    <col min="2" max="2" width="11.453125" bestFit="1" customWidth="1"/>
  </cols>
  <sheetData>
    <row r="1" spans="1:3" x14ac:dyDescent="0.25">
      <c r="A1" s="13" t="s">
        <v>6</v>
      </c>
    </row>
    <row r="2" spans="1:3" x14ac:dyDescent="0.25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ColWidth="9.1796875" defaultRowHeight="12.5" x14ac:dyDescent="0.25"/>
  <cols>
    <col min="1" max="1" width="5" style="1" bestFit="1" customWidth="1"/>
    <col min="2" max="2" width="12.453125" style="1" customWidth="1"/>
    <col min="3" max="16384" width="9.1796875" style="1"/>
  </cols>
  <sheetData>
    <row r="1" spans="1:8" x14ac:dyDescent="0.25">
      <c r="A1" s="15" t="s">
        <v>6</v>
      </c>
    </row>
    <row r="2" spans="1:8" x14ac:dyDescent="0.25">
      <c r="A2" s="15"/>
      <c r="B2" s="1" t="s">
        <v>50</v>
      </c>
      <c r="C2" s="1" t="s">
        <v>15</v>
      </c>
    </row>
    <row r="3" spans="1:8" x14ac:dyDescent="0.25">
      <c r="A3" s="15"/>
    </row>
    <row r="4" spans="1:8" x14ac:dyDescent="0.25">
      <c r="B4" s="1" t="s">
        <v>9</v>
      </c>
    </row>
    <row r="5" spans="1:8" x14ac:dyDescent="0.25">
      <c r="B5" s="1" t="s">
        <v>10</v>
      </c>
    </row>
    <row r="6" spans="1:8" x14ac:dyDescent="0.25">
      <c r="B6" s="1" t="s">
        <v>11</v>
      </c>
    </row>
    <row r="8" spans="1:8" x14ac:dyDescent="0.25">
      <c r="B8" s="1" t="s">
        <v>31</v>
      </c>
    </row>
    <row r="9" spans="1:8" x14ac:dyDescent="0.25">
      <c r="B9" s="1" t="s">
        <v>32</v>
      </c>
    </row>
    <row r="11" spans="1:8" x14ac:dyDescent="0.25">
      <c r="B11" s="29">
        <v>38338</v>
      </c>
    </row>
    <row r="12" spans="1:8" x14ac:dyDescent="0.25">
      <c r="B12" s="1" t="s">
        <v>44</v>
      </c>
    </row>
    <row r="13" spans="1:8" x14ac:dyDescent="0.25">
      <c r="B13" s="1" t="s">
        <v>42</v>
      </c>
    </row>
    <row r="14" spans="1:8" x14ac:dyDescent="0.25">
      <c r="B14" s="1" t="s">
        <v>43</v>
      </c>
    </row>
    <row r="16" spans="1:8" x14ac:dyDescent="0.25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25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25">
      <c r="C18" s="6"/>
      <c r="D18" s="6"/>
      <c r="E18" s="6"/>
      <c r="F18" s="6"/>
      <c r="G18" s="6"/>
      <c r="H18" s="6"/>
    </row>
    <row r="19" spans="2:8" x14ac:dyDescent="0.25">
      <c r="C19" s="6" t="s">
        <v>3</v>
      </c>
      <c r="D19" s="6" t="s">
        <v>89</v>
      </c>
      <c r="E19" s="6"/>
      <c r="F19" s="6"/>
      <c r="G19" s="6"/>
      <c r="H19" s="6"/>
    </row>
    <row r="20" spans="2:8" x14ac:dyDescent="0.25">
      <c r="C20" s="6"/>
      <c r="D20" s="6"/>
      <c r="E20" s="6"/>
      <c r="F20" s="6"/>
      <c r="G20" s="6"/>
      <c r="H20" s="6"/>
    </row>
    <row r="21" spans="2:8" x14ac:dyDescent="0.25">
      <c r="C21" s="6"/>
      <c r="D21" s="6"/>
      <c r="E21" s="6"/>
      <c r="F21" s="6"/>
      <c r="G21" s="6"/>
      <c r="H21" s="6"/>
    </row>
    <row r="22" spans="2:8" x14ac:dyDescent="0.25">
      <c r="C22" s="6"/>
      <c r="D22" s="6"/>
      <c r="E22" s="6"/>
      <c r="F22" s="6"/>
      <c r="G22" s="6"/>
      <c r="H22" s="6"/>
    </row>
    <row r="23" spans="2:8" x14ac:dyDescent="0.25">
      <c r="C23" s="6"/>
      <c r="D23" s="6"/>
      <c r="E23" s="6"/>
      <c r="F23" s="6"/>
      <c r="G23" s="6"/>
      <c r="H23" s="6"/>
    </row>
    <row r="24" spans="2:8" x14ac:dyDescent="0.25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25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25">
      <c r="C26" s="30">
        <f>C25-7</f>
        <v>39227</v>
      </c>
      <c r="D26" s="17">
        <v>69314</v>
      </c>
      <c r="E26" s="17">
        <v>35541</v>
      </c>
      <c r="F26" s="6"/>
    </row>
    <row r="27" spans="2:8" x14ac:dyDescent="0.25">
      <c r="C27" s="30">
        <v>38869</v>
      </c>
      <c r="D27" s="17">
        <v>70448</v>
      </c>
      <c r="E27" s="17">
        <v>34206</v>
      </c>
      <c r="F27" s="6"/>
    </row>
    <row r="28" spans="2:8" x14ac:dyDescent="0.25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ColWidth="8.81640625" defaultRowHeight="12.5" x14ac:dyDescent="0.25"/>
  <cols>
    <col min="1" max="1" width="5" bestFit="1" customWidth="1"/>
    <col min="2" max="2" width="11.453125" bestFit="1" customWidth="1"/>
  </cols>
  <sheetData>
    <row r="1" spans="1:3" x14ac:dyDescent="0.25">
      <c r="A1" s="13" t="s">
        <v>6</v>
      </c>
    </row>
    <row r="2" spans="1:3" x14ac:dyDescent="0.25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ColWidth="8.81640625" defaultRowHeight="12.5" x14ac:dyDescent="0.25"/>
  <cols>
    <col min="1" max="1" width="5" bestFit="1" customWidth="1"/>
    <col min="2" max="2" width="11.453125" bestFit="1" customWidth="1"/>
  </cols>
  <sheetData>
    <row r="1" spans="1:3" x14ac:dyDescent="0.25">
      <c r="A1" s="13" t="s">
        <v>6</v>
      </c>
    </row>
    <row r="2" spans="1:3" x14ac:dyDescent="0.25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4" style="1" bestFit="1" customWidth="1"/>
    <col min="3" max="3" width="23.453125" style="1" customWidth="1"/>
    <col min="4" max="5" width="12.1796875" style="1" customWidth="1"/>
    <col min="6" max="16384" width="9.1796875" style="1"/>
  </cols>
  <sheetData>
    <row r="1" spans="1:3" x14ac:dyDescent="0.25">
      <c r="A1" s="15" t="s">
        <v>6</v>
      </c>
    </row>
    <row r="2" spans="1:3" x14ac:dyDescent="0.25">
      <c r="B2" s="1" t="s">
        <v>50</v>
      </c>
      <c r="C2" s="1" t="s">
        <v>55</v>
      </c>
    </row>
    <row r="3" spans="1:3" x14ac:dyDescent="0.25">
      <c r="B3" s="1" t="s">
        <v>48</v>
      </c>
      <c r="C3" s="1" t="s">
        <v>135</v>
      </c>
    </row>
    <row r="4" spans="1:3" x14ac:dyDescent="0.25">
      <c r="B4" s="1" t="s">
        <v>1</v>
      </c>
    </row>
    <row r="5" spans="1:3" x14ac:dyDescent="0.25">
      <c r="B5" s="1" t="s">
        <v>51</v>
      </c>
    </row>
    <row r="6" spans="1:3" x14ac:dyDescent="0.25">
      <c r="B6" s="1" t="s">
        <v>137</v>
      </c>
    </row>
    <row r="7" spans="1:3" x14ac:dyDescent="0.25">
      <c r="B7" s="1" t="s">
        <v>4</v>
      </c>
      <c r="C7" s="1" t="s">
        <v>220</v>
      </c>
    </row>
    <row r="8" spans="1:3" x14ac:dyDescent="0.25">
      <c r="B8" s="1" t="s">
        <v>2</v>
      </c>
    </row>
    <row r="9" spans="1:3" x14ac:dyDescent="0.25">
      <c r="B9" s="1" t="s">
        <v>136</v>
      </c>
    </row>
    <row r="10" spans="1:3" ht="13" x14ac:dyDescent="0.3">
      <c r="C10" s="16" t="s">
        <v>216</v>
      </c>
    </row>
    <row r="11" spans="1:3" x14ac:dyDescent="0.25">
      <c r="C11" s="1" t="s">
        <v>217</v>
      </c>
    </row>
    <row r="12" spans="1:3" x14ac:dyDescent="0.25">
      <c r="C12" s="1" t="s">
        <v>218</v>
      </c>
    </row>
    <row r="16" spans="1:3" ht="13" x14ac:dyDescent="0.3">
      <c r="C16" s="16" t="s">
        <v>158</v>
      </c>
    </row>
    <row r="17" spans="3:6" ht="13" thickBot="1" x14ac:dyDescent="0.3"/>
    <row r="18" spans="3:6" ht="13" x14ac:dyDescent="0.3">
      <c r="C18" s="26"/>
      <c r="D18" s="24" t="s">
        <v>55</v>
      </c>
      <c r="E18" s="24" t="s">
        <v>138</v>
      </c>
      <c r="F18" s="24" t="s">
        <v>148</v>
      </c>
    </row>
    <row r="19" spans="3:6" x14ac:dyDescent="0.25">
      <c r="C19" s="27" t="s">
        <v>157</v>
      </c>
      <c r="D19" s="22">
        <v>63</v>
      </c>
      <c r="E19" s="22">
        <v>63</v>
      </c>
      <c r="F19" s="22"/>
    </row>
    <row r="20" spans="3:6" x14ac:dyDescent="0.25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25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25">
      <c r="D22" s="6"/>
      <c r="E22" s="6"/>
      <c r="F22" s="6"/>
    </row>
    <row r="23" spans="3:6" ht="13" x14ac:dyDescent="0.3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25">
      <c r="C24" s="1" t="s">
        <v>142</v>
      </c>
      <c r="D24" s="11">
        <v>0.46</v>
      </c>
      <c r="E24" s="11">
        <v>0.28999999999999998</v>
      </c>
      <c r="F24" s="6"/>
    </row>
    <row r="25" spans="3:6" x14ac:dyDescent="0.25">
      <c r="C25" s="1" t="s">
        <v>143</v>
      </c>
      <c r="D25" s="11">
        <v>0.24</v>
      </c>
      <c r="E25" s="11">
        <v>0.05</v>
      </c>
      <c r="F25" s="6"/>
    </row>
    <row r="26" spans="3:6" x14ac:dyDescent="0.25">
      <c r="C26" s="1" t="s">
        <v>144</v>
      </c>
      <c r="D26" s="11">
        <v>0.18</v>
      </c>
      <c r="E26" s="11">
        <v>0.02</v>
      </c>
      <c r="F26" s="6"/>
    </row>
    <row r="27" spans="3:6" x14ac:dyDescent="0.25">
      <c r="C27" s="1" t="s">
        <v>145</v>
      </c>
      <c r="D27" s="6" t="s">
        <v>150</v>
      </c>
      <c r="E27" s="6" t="s">
        <v>152</v>
      </c>
      <c r="F27" s="6"/>
    </row>
    <row r="28" spans="3:6" x14ac:dyDescent="0.25">
      <c r="D28" s="6"/>
      <c r="E28" s="6"/>
      <c r="F28" s="6"/>
    </row>
    <row r="29" spans="3:6" ht="13" x14ac:dyDescent="0.3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3" thickBot="1" x14ac:dyDescent="0.3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ColWidth="9.1796875" defaultRowHeight="12.5" x14ac:dyDescent="0.25"/>
  <cols>
    <col min="1" max="1" width="5.54296875" style="1" customWidth="1"/>
    <col min="2" max="2" width="13.453125" style="1" customWidth="1"/>
    <col min="3" max="3" width="10.1796875" style="1" bestFit="1" customWidth="1"/>
    <col min="4" max="16384" width="9.1796875" style="1"/>
  </cols>
  <sheetData>
    <row r="1" spans="1:5" x14ac:dyDescent="0.25">
      <c r="A1" s="15" t="s">
        <v>6</v>
      </c>
    </row>
    <row r="2" spans="1:5" x14ac:dyDescent="0.25">
      <c r="B2" s="1" t="s">
        <v>50</v>
      </c>
      <c r="C2" s="1" t="s">
        <v>7</v>
      </c>
    </row>
    <row r="3" spans="1:5" x14ac:dyDescent="0.25">
      <c r="B3" s="1" t="s">
        <v>48</v>
      </c>
      <c r="C3" s="1" t="s">
        <v>85</v>
      </c>
    </row>
    <row r="4" spans="1:5" x14ac:dyDescent="0.25">
      <c r="B4" s="1" t="s">
        <v>3</v>
      </c>
      <c r="C4" s="1" t="s">
        <v>86</v>
      </c>
    </row>
    <row r="5" spans="1:5" x14ac:dyDescent="0.25">
      <c r="B5" s="1" t="s">
        <v>1</v>
      </c>
      <c r="C5" s="1" t="s">
        <v>87</v>
      </c>
    </row>
    <row r="6" spans="1:5" x14ac:dyDescent="0.25">
      <c r="B6" s="1" t="s">
        <v>4</v>
      </c>
      <c r="C6" s="1" t="s">
        <v>88</v>
      </c>
    </row>
    <row r="7" spans="1:5" x14ac:dyDescent="0.25">
      <c r="C7" s="1" t="s">
        <v>8</v>
      </c>
    </row>
    <row r="8" spans="1:5" x14ac:dyDescent="0.25">
      <c r="C8" s="1" t="s">
        <v>29</v>
      </c>
    </row>
    <row r="9" spans="1:5" x14ac:dyDescent="0.25">
      <c r="C9" s="1" t="s">
        <v>30</v>
      </c>
    </row>
    <row r="12" spans="1:5" x14ac:dyDescent="0.25">
      <c r="B12" s="1" t="s">
        <v>164</v>
      </c>
      <c r="C12" s="6"/>
      <c r="D12" s="6" t="s">
        <v>165</v>
      </c>
      <c r="E12" s="6" t="s">
        <v>166</v>
      </c>
    </row>
    <row r="13" spans="1:5" x14ac:dyDescent="0.25">
      <c r="C13" s="43">
        <v>40165</v>
      </c>
      <c r="D13" s="35">
        <v>117723</v>
      </c>
      <c r="E13" s="35">
        <v>53829</v>
      </c>
    </row>
    <row r="14" spans="1:5" x14ac:dyDescent="0.25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25">
      <c r="C15" s="43">
        <f t="shared" si="0"/>
        <v>40151</v>
      </c>
      <c r="D15" s="35">
        <v>128647</v>
      </c>
      <c r="E15" s="35">
        <v>56775</v>
      </c>
    </row>
    <row r="16" spans="1:5" x14ac:dyDescent="0.25">
      <c r="C16" s="43">
        <f t="shared" si="0"/>
        <v>40144</v>
      </c>
      <c r="D16" s="35">
        <v>104242</v>
      </c>
      <c r="E16" s="35">
        <v>44896</v>
      </c>
    </row>
    <row r="17" spans="3:5" x14ac:dyDescent="0.25">
      <c r="C17" s="43">
        <f t="shared" si="0"/>
        <v>40137</v>
      </c>
      <c r="D17" s="35">
        <v>116685</v>
      </c>
      <c r="E17" s="35">
        <v>53770</v>
      </c>
    </row>
    <row r="18" spans="3:5" x14ac:dyDescent="0.25">
      <c r="C18" s="43">
        <f t="shared" si="0"/>
        <v>40130</v>
      </c>
      <c r="D18" s="35">
        <v>113476</v>
      </c>
      <c r="E18" s="35">
        <v>51112</v>
      </c>
    </row>
    <row r="19" spans="3:5" x14ac:dyDescent="0.25">
      <c r="C19" s="43">
        <f t="shared" si="0"/>
        <v>40123</v>
      </c>
      <c r="D19" s="35">
        <v>122441</v>
      </c>
      <c r="E19" s="35">
        <v>54445</v>
      </c>
    </row>
    <row r="20" spans="3:5" x14ac:dyDescent="0.25">
      <c r="C20" s="43">
        <f t="shared" si="0"/>
        <v>40116</v>
      </c>
      <c r="D20" s="35">
        <v>114922</v>
      </c>
      <c r="E20" s="35">
        <v>51865</v>
      </c>
    </row>
    <row r="21" spans="3:5" x14ac:dyDescent="0.25">
      <c r="C21" s="43">
        <v>39234</v>
      </c>
      <c r="D21" s="35">
        <v>118958</v>
      </c>
      <c r="E21" s="35">
        <v>50496</v>
      </c>
    </row>
    <row r="22" spans="3:5" x14ac:dyDescent="0.25">
      <c r="C22" s="43">
        <f>C21-7</f>
        <v>39227</v>
      </c>
      <c r="D22" s="35">
        <v>123390</v>
      </c>
      <c r="E22" s="35">
        <v>53736</v>
      </c>
    </row>
    <row r="23" spans="3:5" x14ac:dyDescent="0.25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DB93-BD17-453B-B782-30617E1E32E9}">
  <dimension ref="A1:H106"/>
  <sheetViews>
    <sheetView zoomScale="145" zoomScaleNormal="145" workbookViewId="0">
      <pane xSplit="2" ySplit="2" topLeftCell="C82" activePane="bottomRight" state="frozen"/>
      <selection pane="topRight" activeCell="C1" sqref="C1"/>
      <selection pane="bottomLeft" activeCell="A3" sqref="A3"/>
      <selection pane="bottomRight" activeCell="D93" sqref="D93"/>
    </sheetView>
  </sheetViews>
  <sheetFormatPr defaultRowHeight="12.5" x14ac:dyDescent="0.25"/>
  <cols>
    <col min="1" max="1" width="5" bestFit="1" customWidth="1"/>
    <col min="2" max="2" width="14" style="118" customWidth="1"/>
    <col min="3" max="3" width="24.81640625" customWidth="1"/>
    <col min="4" max="4" width="15.453125" bestFit="1" customWidth="1"/>
    <col min="5" max="5" width="9.1796875" style="118"/>
    <col min="6" max="6" width="10.54296875" customWidth="1"/>
    <col min="7" max="7" width="11.54296875" customWidth="1"/>
  </cols>
  <sheetData>
    <row r="1" spans="1:8" x14ac:dyDescent="0.25">
      <c r="A1" s="38" t="s">
        <v>6</v>
      </c>
    </row>
    <row r="2" spans="1:8" x14ac:dyDescent="0.25">
      <c r="B2" s="119" t="s">
        <v>1166</v>
      </c>
      <c r="C2" s="38" t="s">
        <v>0</v>
      </c>
      <c r="D2" s="38" t="s">
        <v>1</v>
      </c>
      <c r="E2" s="119" t="s">
        <v>1167</v>
      </c>
      <c r="F2" s="38" t="s">
        <v>5</v>
      </c>
      <c r="G2" s="38" t="s">
        <v>1191</v>
      </c>
      <c r="H2" s="38" t="s">
        <v>944</v>
      </c>
    </row>
    <row r="3" spans="1:8" x14ac:dyDescent="0.25">
      <c r="B3" s="119">
        <v>6921759</v>
      </c>
      <c r="C3" s="38" t="s">
        <v>854</v>
      </c>
      <c r="D3" s="38" t="s">
        <v>467</v>
      </c>
      <c r="E3" s="118">
        <v>206</v>
      </c>
      <c r="F3" s="38" t="s">
        <v>47</v>
      </c>
      <c r="G3" s="83">
        <v>45757</v>
      </c>
    </row>
    <row r="4" spans="1:8" x14ac:dyDescent="0.25">
      <c r="B4" s="118">
        <v>6916091</v>
      </c>
      <c r="C4" s="38" t="s">
        <v>1168</v>
      </c>
      <c r="D4" s="38" t="s">
        <v>518</v>
      </c>
      <c r="E4" s="118">
        <v>36</v>
      </c>
      <c r="F4" s="38" t="s">
        <v>119</v>
      </c>
      <c r="G4" s="83">
        <v>45755</v>
      </c>
      <c r="H4" s="38" t="s">
        <v>1263</v>
      </c>
    </row>
    <row r="5" spans="1:8" x14ac:dyDescent="0.25">
      <c r="B5" s="118">
        <v>6916065</v>
      </c>
      <c r="C5" s="38" t="s">
        <v>1168</v>
      </c>
      <c r="D5" s="38" t="s">
        <v>518</v>
      </c>
      <c r="E5" s="118">
        <v>188</v>
      </c>
      <c r="F5" s="38" t="s">
        <v>119</v>
      </c>
      <c r="G5" s="83">
        <v>45755</v>
      </c>
      <c r="H5" s="38" t="s">
        <v>1263</v>
      </c>
    </row>
    <row r="6" spans="1:8" x14ac:dyDescent="0.25">
      <c r="B6" s="118">
        <v>6916143</v>
      </c>
      <c r="C6" s="38" t="s">
        <v>1170</v>
      </c>
      <c r="D6" s="38" t="s">
        <v>1169</v>
      </c>
      <c r="E6" s="118">
        <v>48</v>
      </c>
      <c r="F6" s="38" t="s">
        <v>119</v>
      </c>
      <c r="G6" s="83">
        <v>45755</v>
      </c>
    </row>
    <row r="7" spans="1:8" x14ac:dyDescent="0.25">
      <c r="B7" s="118">
        <v>6916078</v>
      </c>
      <c r="C7" s="38" t="s">
        <v>1171</v>
      </c>
      <c r="D7" s="38" t="s">
        <v>1169</v>
      </c>
      <c r="E7" s="118">
        <v>33</v>
      </c>
      <c r="F7" s="38" t="s">
        <v>119</v>
      </c>
      <c r="G7" s="83">
        <v>45755</v>
      </c>
    </row>
    <row r="8" spans="1:8" x14ac:dyDescent="0.25">
      <c r="B8" s="118">
        <v>6914895</v>
      </c>
      <c r="C8" s="38" t="s">
        <v>1172</v>
      </c>
      <c r="D8" s="38" t="s">
        <v>1173</v>
      </c>
      <c r="E8" s="118">
        <v>905</v>
      </c>
      <c r="F8" s="38" t="s">
        <v>47</v>
      </c>
      <c r="G8" s="83">
        <v>45753</v>
      </c>
    </row>
    <row r="9" spans="1:8" x14ac:dyDescent="0.25">
      <c r="B9" s="118">
        <v>6911944</v>
      </c>
      <c r="C9" s="38" t="s">
        <v>481</v>
      </c>
      <c r="D9" s="38" t="s">
        <v>1174</v>
      </c>
      <c r="E9" s="118">
        <v>60</v>
      </c>
      <c r="F9" s="38" t="s">
        <v>1175</v>
      </c>
      <c r="G9" s="83">
        <v>45751</v>
      </c>
    </row>
    <row r="10" spans="1:8" x14ac:dyDescent="0.25">
      <c r="B10" s="118">
        <v>6908707</v>
      </c>
      <c r="C10" s="38" t="s">
        <v>1176</v>
      </c>
      <c r="D10" s="38" t="s">
        <v>1169</v>
      </c>
      <c r="E10" s="118">
        <v>32</v>
      </c>
      <c r="F10" s="38" t="s">
        <v>119</v>
      </c>
      <c r="G10" s="83">
        <v>45750</v>
      </c>
    </row>
    <row r="11" spans="1:8" s="126" customFormat="1" ht="13" x14ac:dyDescent="0.3">
      <c r="B11" s="125">
        <v>6901518</v>
      </c>
      <c r="C11" s="126" t="s">
        <v>1177</v>
      </c>
      <c r="D11" s="126" t="s">
        <v>1178</v>
      </c>
      <c r="E11" s="125">
        <v>25</v>
      </c>
      <c r="F11" s="126" t="s">
        <v>1175</v>
      </c>
      <c r="G11" s="127">
        <v>45746</v>
      </c>
    </row>
    <row r="12" spans="1:8" x14ac:dyDescent="0.25">
      <c r="B12" s="118">
        <v>6901336</v>
      </c>
      <c r="C12" s="38" t="s">
        <v>1179</v>
      </c>
      <c r="D12" s="38" t="s">
        <v>1169</v>
      </c>
      <c r="E12" s="118">
        <v>8</v>
      </c>
      <c r="F12" s="38" t="s">
        <v>119</v>
      </c>
      <c r="G12" s="83">
        <v>45744</v>
      </c>
    </row>
    <row r="13" spans="1:8" x14ac:dyDescent="0.25">
      <c r="B13" s="118">
        <v>6901349</v>
      </c>
      <c r="C13" s="38" t="s">
        <v>1180</v>
      </c>
      <c r="D13" s="38" t="s">
        <v>518</v>
      </c>
      <c r="E13" s="118">
        <v>180</v>
      </c>
      <c r="F13" s="38" t="s">
        <v>105</v>
      </c>
      <c r="G13" s="83">
        <v>45744</v>
      </c>
      <c r="H13" s="38" t="s">
        <v>1265</v>
      </c>
    </row>
    <row r="14" spans="1:8" s="38" customFormat="1" x14ac:dyDescent="0.25">
      <c r="B14" s="119">
        <v>6897475</v>
      </c>
      <c r="C14" s="38" t="s">
        <v>1181</v>
      </c>
      <c r="D14" s="38" t="s">
        <v>518</v>
      </c>
      <c r="E14" s="119">
        <v>240</v>
      </c>
      <c r="F14" s="38" t="s">
        <v>105</v>
      </c>
      <c r="G14" s="116">
        <v>45743</v>
      </c>
      <c r="H14" s="38" t="s">
        <v>1264</v>
      </c>
    </row>
    <row r="15" spans="1:8" x14ac:dyDescent="0.25">
      <c r="B15" s="118">
        <v>6890611</v>
      </c>
      <c r="C15" s="38" t="s">
        <v>1180</v>
      </c>
      <c r="D15" s="38" t="s">
        <v>1169</v>
      </c>
      <c r="E15" s="118">
        <v>100</v>
      </c>
      <c r="F15" s="38" t="s">
        <v>119</v>
      </c>
      <c r="G15" s="83">
        <v>45740</v>
      </c>
      <c r="H15" s="38" t="s">
        <v>1265</v>
      </c>
    </row>
    <row r="16" spans="1:8" s="38" customFormat="1" x14ac:dyDescent="0.25">
      <c r="B16" s="119">
        <v>6890598</v>
      </c>
      <c r="C16" s="38" t="s">
        <v>1182</v>
      </c>
      <c r="D16" s="38" t="s">
        <v>1183</v>
      </c>
      <c r="E16" s="119">
        <v>700</v>
      </c>
      <c r="F16" s="38" t="s">
        <v>47</v>
      </c>
      <c r="G16" s="116">
        <v>45740</v>
      </c>
    </row>
    <row r="17" spans="2:8" s="126" customFormat="1" ht="13" x14ac:dyDescent="0.3">
      <c r="B17" s="125">
        <v>6876662</v>
      </c>
      <c r="C17" s="126" t="s">
        <v>532</v>
      </c>
      <c r="D17" s="126" t="s">
        <v>1184</v>
      </c>
      <c r="E17" s="125">
        <v>279</v>
      </c>
      <c r="F17" s="126" t="s">
        <v>1175</v>
      </c>
      <c r="G17" s="127">
        <v>45730</v>
      </c>
    </row>
    <row r="18" spans="2:8" s="126" customFormat="1" ht="13" x14ac:dyDescent="0.3">
      <c r="B18" s="125">
        <v>6876649</v>
      </c>
      <c r="C18" s="126" t="s">
        <v>1185</v>
      </c>
      <c r="D18" s="126" t="s">
        <v>1184</v>
      </c>
      <c r="E18" s="125">
        <v>279</v>
      </c>
      <c r="F18" s="126" t="s">
        <v>1175</v>
      </c>
      <c r="G18" s="127">
        <v>45730</v>
      </c>
    </row>
    <row r="19" spans="2:8" s="55" customFormat="1" ht="13" x14ac:dyDescent="0.3">
      <c r="B19" s="123">
        <v>6869018</v>
      </c>
      <c r="C19" s="55" t="s">
        <v>1186</v>
      </c>
      <c r="D19" s="55" t="s">
        <v>1108</v>
      </c>
      <c r="E19" s="123">
        <v>90</v>
      </c>
      <c r="F19" s="55" t="s">
        <v>119</v>
      </c>
      <c r="G19" s="124">
        <v>45727</v>
      </c>
      <c r="H19" s="55" t="s">
        <v>1266</v>
      </c>
    </row>
    <row r="20" spans="2:8" s="126" customFormat="1" ht="13" x14ac:dyDescent="0.3">
      <c r="B20" s="125">
        <v>6868381</v>
      </c>
      <c r="C20" s="126" t="s">
        <v>441</v>
      </c>
      <c r="D20" s="126" t="s">
        <v>1187</v>
      </c>
      <c r="E20" s="125">
        <v>10</v>
      </c>
      <c r="F20" s="126" t="s">
        <v>105</v>
      </c>
      <c r="G20" s="127">
        <v>45726</v>
      </c>
    </row>
    <row r="21" spans="2:8" s="126" customFormat="1" ht="13" x14ac:dyDescent="0.3">
      <c r="B21" s="125">
        <v>6864026</v>
      </c>
      <c r="C21" s="126" t="s">
        <v>1172</v>
      </c>
      <c r="D21" s="126" t="s">
        <v>1188</v>
      </c>
      <c r="E21" s="125">
        <v>200</v>
      </c>
      <c r="F21" s="126" t="s">
        <v>1175</v>
      </c>
      <c r="G21" s="127">
        <v>45723</v>
      </c>
    </row>
    <row r="22" spans="2:8" s="126" customFormat="1" ht="13" x14ac:dyDescent="0.3">
      <c r="B22" s="125">
        <v>6864403</v>
      </c>
      <c r="C22" s="126" t="s">
        <v>880</v>
      </c>
      <c r="D22" s="126" t="s">
        <v>1189</v>
      </c>
      <c r="E22" s="125">
        <v>25</v>
      </c>
      <c r="F22" s="126" t="s">
        <v>1175</v>
      </c>
      <c r="G22" s="127">
        <v>45723</v>
      </c>
    </row>
    <row r="23" spans="2:8" s="55" customFormat="1" ht="13" x14ac:dyDescent="0.3">
      <c r="B23" s="123">
        <v>6859294</v>
      </c>
      <c r="C23" s="55" t="s">
        <v>1190</v>
      </c>
      <c r="D23" s="55" t="s">
        <v>239</v>
      </c>
      <c r="E23" s="123">
        <v>40</v>
      </c>
      <c r="F23" s="55" t="s">
        <v>105</v>
      </c>
      <c r="G23" s="124">
        <v>45721</v>
      </c>
    </row>
    <row r="24" spans="2:8" s="55" customFormat="1" ht="13" x14ac:dyDescent="0.3">
      <c r="B24" s="123">
        <v>6859268</v>
      </c>
      <c r="C24" s="55" t="s">
        <v>1192</v>
      </c>
      <c r="D24" s="55" t="s">
        <v>518</v>
      </c>
      <c r="E24" s="123">
        <v>586</v>
      </c>
      <c r="F24" s="55" t="s">
        <v>47</v>
      </c>
      <c r="G24" s="124">
        <v>45721</v>
      </c>
    </row>
    <row r="25" spans="2:8" s="126" customFormat="1" ht="13" x14ac:dyDescent="0.3">
      <c r="B25" s="125">
        <v>6857942</v>
      </c>
      <c r="C25" s="126" t="s">
        <v>1172</v>
      </c>
      <c r="D25" s="126" t="s">
        <v>1188</v>
      </c>
      <c r="E25" s="125">
        <v>200</v>
      </c>
      <c r="F25" s="126" t="s">
        <v>1175</v>
      </c>
      <c r="G25" s="127">
        <v>45721</v>
      </c>
    </row>
    <row r="26" spans="2:8" s="126" customFormat="1" ht="13" x14ac:dyDescent="0.3">
      <c r="B26" s="125">
        <v>6855212</v>
      </c>
      <c r="C26" s="126" t="s">
        <v>1193</v>
      </c>
      <c r="D26" s="126" t="s">
        <v>1194</v>
      </c>
      <c r="E26" s="125">
        <v>21</v>
      </c>
      <c r="F26" s="126" t="s">
        <v>105</v>
      </c>
      <c r="G26" s="127">
        <v>45719</v>
      </c>
    </row>
    <row r="27" spans="2:8" s="126" customFormat="1" ht="13" x14ac:dyDescent="0.3">
      <c r="B27" s="125">
        <v>6847399</v>
      </c>
      <c r="C27" s="126" t="s">
        <v>1172</v>
      </c>
      <c r="D27" s="126" t="s">
        <v>1195</v>
      </c>
      <c r="E27" s="125">
        <v>105</v>
      </c>
      <c r="F27" s="126" t="s">
        <v>105</v>
      </c>
      <c r="G27" s="127">
        <v>45714</v>
      </c>
    </row>
    <row r="28" spans="2:8" ht="13" x14ac:dyDescent="0.3">
      <c r="B28" s="125">
        <v>6839872</v>
      </c>
      <c r="C28" s="126" t="s">
        <v>532</v>
      </c>
      <c r="D28" s="126" t="s">
        <v>519</v>
      </c>
      <c r="E28" s="125">
        <v>60</v>
      </c>
      <c r="F28" s="126" t="s">
        <v>105</v>
      </c>
      <c r="G28" s="127">
        <v>45709</v>
      </c>
    </row>
    <row r="29" spans="2:8" ht="13" x14ac:dyDescent="0.3">
      <c r="B29" s="125">
        <v>6835972</v>
      </c>
      <c r="C29" s="126" t="s">
        <v>1196</v>
      </c>
      <c r="D29" s="126" t="s">
        <v>1197</v>
      </c>
      <c r="E29" s="125">
        <v>43</v>
      </c>
      <c r="F29" s="126" t="s">
        <v>1198</v>
      </c>
      <c r="G29" s="127">
        <v>45707</v>
      </c>
    </row>
    <row r="30" spans="2:8" s="38" customFormat="1" x14ac:dyDescent="0.25">
      <c r="B30" s="118">
        <v>6824051</v>
      </c>
      <c r="C30" s="38" t="s">
        <v>564</v>
      </c>
      <c r="D30" s="38" t="s">
        <v>518</v>
      </c>
      <c r="E30" s="118">
        <v>120</v>
      </c>
      <c r="F30" s="38" t="s">
        <v>119</v>
      </c>
      <c r="G30" s="83">
        <v>45701</v>
      </c>
    </row>
    <row r="31" spans="2:8" x14ac:dyDescent="0.25">
      <c r="B31" s="118">
        <v>6817356</v>
      </c>
      <c r="C31" s="38" t="s">
        <v>562</v>
      </c>
      <c r="D31" s="38" t="s">
        <v>1199</v>
      </c>
      <c r="E31" s="118">
        <v>300</v>
      </c>
      <c r="F31" s="38" t="s">
        <v>105</v>
      </c>
      <c r="G31" s="83">
        <v>45698</v>
      </c>
    </row>
    <row r="32" spans="2:8" x14ac:dyDescent="0.25">
      <c r="B32" s="118">
        <v>6812715</v>
      </c>
      <c r="C32" s="38" t="s">
        <v>532</v>
      </c>
      <c r="D32" s="38" t="s">
        <v>1200</v>
      </c>
      <c r="E32" s="118">
        <v>40</v>
      </c>
      <c r="F32" s="38" t="s">
        <v>105</v>
      </c>
      <c r="G32" s="83">
        <v>45694</v>
      </c>
    </row>
    <row r="33" spans="2:7" x14ac:dyDescent="0.25">
      <c r="B33" s="118">
        <v>6810544</v>
      </c>
      <c r="C33" s="38" t="s">
        <v>1201</v>
      </c>
      <c r="D33" s="38" t="s">
        <v>1202</v>
      </c>
      <c r="E33" s="118">
        <v>191</v>
      </c>
      <c r="F33" s="38" t="s">
        <v>1198</v>
      </c>
      <c r="G33" s="83">
        <v>45693</v>
      </c>
    </row>
    <row r="34" spans="2:7" x14ac:dyDescent="0.25">
      <c r="B34" s="118">
        <v>6808802</v>
      </c>
      <c r="C34" s="38" t="s">
        <v>1192</v>
      </c>
      <c r="D34" s="38" t="s">
        <v>1169</v>
      </c>
      <c r="E34" s="118">
        <v>30</v>
      </c>
      <c r="F34" s="38" t="s">
        <v>119</v>
      </c>
      <c r="G34" s="83">
        <v>45693</v>
      </c>
    </row>
    <row r="35" spans="2:7" x14ac:dyDescent="0.25">
      <c r="B35" s="118">
        <v>6809400</v>
      </c>
      <c r="C35" s="38" t="s">
        <v>1203</v>
      </c>
      <c r="D35" s="38" t="s">
        <v>759</v>
      </c>
      <c r="E35" s="118">
        <v>127</v>
      </c>
      <c r="F35" s="38" t="s">
        <v>119</v>
      </c>
      <c r="G35" s="83">
        <v>45693</v>
      </c>
    </row>
    <row r="36" spans="2:7" x14ac:dyDescent="0.25">
      <c r="B36" s="118">
        <v>6808815</v>
      </c>
      <c r="C36" s="38" t="s">
        <v>1204</v>
      </c>
      <c r="D36" s="38" t="s">
        <v>445</v>
      </c>
      <c r="E36" s="118">
        <v>104</v>
      </c>
      <c r="F36" s="38" t="s">
        <v>119</v>
      </c>
      <c r="G36" s="83">
        <v>45693</v>
      </c>
    </row>
    <row r="37" spans="2:7" x14ac:dyDescent="0.25">
      <c r="B37" s="118">
        <v>6797310</v>
      </c>
      <c r="C37" s="38" t="s">
        <v>441</v>
      </c>
      <c r="D37" s="38" t="s">
        <v>1205</v>
      </c>
      <c r="E37" s="118">
        <v>30</v>
      </c>
      <c r="F37" s="38" t="s">
        <v>105</v>
      </c>
      <c r="G37" s="83">
        <v>45685</v>
      </c>
    </row>
    <row r="38" spans="2:7" x14ac:dyDescent="0.25">
      <c r="B38" s="118">
        <v>6739122</v>
      </c>
      <c r="C38" s="38" t="s">
        <v>1206</v>
      </c>
      <c r="D38" s="38" t="s">
        <v>1108</v>
      </c>
      <c r="E38" s="118">
        <v>55</v>
      </c>
      <c r="F38" s="38" t="s">
        <v>47</v>
      </c>
      <c r="G38" s="83">
        <v>45644</v>
      </c>
    </row>
    <row r="39" spans="2:7" x14ac:dyDescent="0.25">
      <c r="B39" s="118">
        <v>6721013</v>
      </c>
      <c r="C39" s="38" t="s">
        <v>532</v>
      </c>
      <c r="D39" s="38" t="s">
        <v>1207</v>
      </c>
      <c r="E39" s="118">
        <v>58</v>
      </c>
      <c r="F39" s="38" t="s">
        <v>1198</v>
      </c>
      <c r="G39" s="83">
        <v>45632</v>
      </c>
    </row>
    <row r="40" spans="2:7" x14ac:dyDescent="0.25">
      <c r="B40" s="118">
        <v>6719128</v>
      </c>
      <c r="C40" s="38" t="s">
        <v>1182</v>
      </c>
      <c r="D40" s="38" t="s">
        <v>1169</v>
      </c>
      <c r="E40" s="118">
        <v>48</v>
      </c>
      <c r="F40" s="38" t="s">
        <v>119</v>
      </c>
      <c r="G40" s="83">
        <v>45631</v>
      </c>
    </row>
    <row r="41" spans="2:7" x14ac:dyDescent="0.25">
      <c r="B41" s="118">
        <v>6709820</v>
      </c>
      <c r="C41" s="38" t="s">
        <v>1208</v>
      </c>
      <c r="D41" s="38" t="s">
        <v>1169</v>
      </c>
      <c r="E41" s="118">
        <v>132</v>
      </c>
      <c r="F41" s="38" t="s">
        <v>119</v>
      </c>
      <c r="G41" s="83">
        <v>45625</v>
      </c>
    </row>
    <row r="42" spans="2:7" x14ac:dyDescent="0.25">
      <c r="B42" s="118">
        <v>6704763</v>
      </c>
      <c r="C42" s="38" t="s">
        <v>564</v>
      </c>
      <c r="D42" s="38" t="s">
        <v>1169</v>
      </c>
      <c r="E42" s="118">
        <v>27</v>
      </c>
      <c r="F42" s="38" t="s">
        <v>119</v>
      </c>
      <c r="G42" s="83">
        <v>45622</v>
      </c>
    </row>
    <row r="43" spans="2:7" x14ac:dyDescent="0.25">
      <c r="B43" s="118">
        <v>6696456</v>
      </c>
      <c r="C43" s="38" t="s">
        <v>1209</v>
      </c>
      <c r="D43" s="38" t="s">
        <v>1210</v>
      </c>
      <c r="E43" s="118">
        <v>30</v>
      </c>
      <c r="F43" s="38" t="s">
        <v>1211</v>
      </c>
      <c r="G43" s="83">
        <v>45616</v>
      </c>
    </row>
    <row r="44" spans="2:7" x14ac:dyDescent="0.25">
      <c r="B44" s="118">
        <v>6696014</v>
      </c>
      <c r="C44" s="38" t="s">
        <v>880</v>
      </c>
      <c r="D44" s="38" t="s">
        <v>1212</v>
      </c>
      <c r="E44" s="118">
        <v>100</v>
      </c>
      <c r="F44" s="38" t="s">
        <v>1211</v>
      </c>
      <c r="G44" s="83">
        <v>45615</v>
      </c>
    </row>
    <row r="45" spans="2:7" x14ac:dyDescent="0.25">
      <c r="B45" s="118">
        <v>6692348</v>
      </c>
      <c r="C45" s="38" t="s">
        <v>564</v>
      </c>
      <c r="D45" s="38" t="s">
        <v>1169</v>
      </c>
      <c r="E45" s="118">
        <v>80</v>
      </c>
      <c r="F45" s="38" t="s">
        <v>119</v>
      </c>
      <c r="G45" s="83">
        <v>45614</v>
      </c>
    </row>
    <row r="46" spans="2:7" x14ac:dyDescent="0.25">
      <c r="B46" s="118">
        <v>6690996</v>
      </c>
      <c r="C46" s="38" t="s">
        <v>1213</v>
      </c>
      <c r="D46" s="38" t="s">
        <v>1169</v>
      </c>
      <c r="E46" s="119">
        <v>140</v>
      </c>
      <c r="F46" s="38" t="s">
        <v>119</v>
      </c>
      <c r="G46" s="83">
        <v>45611</v>
      </c>
    </row>
    <row r="47" spans="2:7" x14ac:dyDescent="0.25">
      <c r="B47" s="118">
        <v>6683508</v>
      </c>
      <c r="C47" s="38" t="s">
        <v>1186</v>
      </c>
      <c r="D47" s="38" t="s">
        <v>518</v>
      </c>
      <c r="E47" s="118">
        <v>275</v>
      </c>
      <c r="F47" s="38" t="s">
        <v>105</v>
      </c>
      <c r="G47" s="83">
        <v>45608</v>
      </c>
    </row>
    <row r="48" spans="2:7" x14ac:dyDescent="0.25">
      <c r="B48" s="118">
        <v>6678269</v>
      </c>
      <c r="C48" s="38" t="s">
        <v>1196</v>
      </c>
      <c r="D48" s="38" t="s">
        <v>487</v>
      </c>
      <c r="E48" s="118">
        <v>28</v>
      </c>
      <c r="F48" s="38" t="s">
        <v>119</v>
      </c>
      <c r="G48" s="83">
        <v>45603</v>
      </c>
    </row>
    <row r="49" spans="2:8" x14ac:dyDescent="0.25">
      <c r="B49" s="118">
        <v>6672939</v>
      </c>
      <c r="C49" s="38" t="s">
        <v>1214</v>
      </c>
      <c r="D49" s="38" t="s">
        <v>518</v>
      </c>
      <c r="E49" s="118">
        <v>125</v>
      </c>
      <c r="F49" s="38" t="s">
        <v>47</v>
      </c>
      <c r="G49" s="83">
        <v>45600</v>
      </c>
      <c r="H49" s="38" t="s">
        <v>1215</v>
      </c>
    </row>
    <row r="50" spans="2:8" s="55" customFormat="1" ht="13" x14ac:dyDescent="0.3">
      <c r="B50" s="123">
        <v>6662383</v>
      </c>
      <c r="C50" s="55" t="s">
        <v>1192</v>
      </c>
      <c r="D50" s="55" t="s">
        <v>518</v>
      </c>
      <c r="E50" s="123">
        <v>800</v>
      </c>
      <c r="F50" s="55" t="s">
        <v>47</v>
      </c>
      <c r="G50" s="124">
        <v>45593</v>
      </c>
      <c r="H50" s="55" t="s">
        <v>1216</v>
      </c>
    </row>
    <row r="51" spans="2:8" s="55" customFormat="1" ht="13" x14ac:dyDescent="0.3">
      <c r="B51" s="123">
        <v>6657768</v>
      </c>
      <c r="C51" s="55" t="s">
        <v>1217</v>
      </c>
      <c r="D51" s="55" t="s">
        <v>1218</v>
      </c>
      <c r="E51" s="123">
        <v>68</v>
      </c>
      <c r="F51" s="55" t="s">
        <v>119</v>
      </c>
      <c r="G51" s="124">
        <v>45589</v>
      </c>
    </row>
    <row r="52" spans="2:8" s="55" customFormat="1" ht="13" x14ac:dyDescent="0.3">
      <c r="B52" s="123">
        <v>6653153</v>
      </c>
      <c r="C52" s="55" t="s">
        <v>1219</v>
      </c>
      <c r="D52" s="55" t="s">
        <v>1218</v>
      </c>
      <c r="E52" s="123">
        <v>1200</v>
      </c>
      <c r="F52" s="55" t="s">
        <v>47</v>
      </c>
      <c r="G52" s="124">
        <v>45587</v>
      </c>
    </row>
    <row r="53" spans="2:8" s="55" customFormat="1" ht="13" x14ac:dyDescent="0.3">
      <c r="B53" s="123">
        <v>6649045</v>
      </c>
      <c r="C53" s="55" t="s">
        <v>1214</v>
      </c>
      <c r="D53" s="55" t="s">
        <v>1220</v>
      </c>
      <c r="E53" s="123">
        <v>600</v>
      </c>
      <c r="F53" s="55" t="s">
        <v>47</v>
      </c>
      <c r="G53" s="124">
        <v>45583</v>
      </c>
    </row>
    <row r="54" spans="2:8" s="55" customFormat="1" ht="13" x14ac:dyDescent="0.3">
      <c r="B54" s="123">
        <v>6647498</v>
      </c>
      <c r="C54" s="55" t="s">
        <v>1219</v>
      </c>
      <c r="D54" s="55" t="s">
        <v>1218</v>
      </c>
      <c r="E54" s="123">
        <v>280</v>
      </c>
      <c r="F54" s="55" t="s">
        <v>1221</v>
      </c>
      <c r="G54" s="124">
        <v>45582</v>
      </c>
    </row>
    <row r="55" spans="2:8" x14ac:dyDescent="0.25">
      <c r="B55" s="118">
        <v>6644378</v>
      </c>
      <c r="C55" s="38" t="s">
        <v>1222</v>
      </c>
      <c r="D55" s="38" t="s">
        <v>1169</v>
      </c>
      <c r="E55" s="118">
        <v>15</v>
      </c>
      <c r="F55" s="38" t="s">
        <v>119</v>
      </c>
      <c r="G55" s="83">
        <v>45581</v>
      </c>
    </row>
    <row r="56" spans="2:8" x14ac:dyDescent="0.25">
      <c r="B56" s="118">
        <v>6643728</v>
      </c>
      <c r="C56" s="38" t="s">
        <v>1180</v>
      </c>
      <c r="D56" s="38" t="s">
        <v>518</v>
      </c>
      <c r="E56" s="118">
        <v>240</v>
      </c>
      <c r="F56" s="38" t="s">
        <v>105</v>
      </c>
      <c r="G56" s="83">
        <v>45581</v>
      </c>
    </row>
    <row r="57" spans="2:8" x14ac:dyDescent="0.25">
      <c r="B57" s="118">
        <v>6641037</v>
      </c>
      <c r="C57" s="38" t="s">
        <v>1223</v>
      </c>
      <c r="D57" s="38" t="s">
        <v>1169</v>
      </c>
      <c r="E57" s="118">
        <v>15</v>
      </c>
      <c r="F57" s="38" t="s">
        <v>119</v>
      </c>
      <c r="G57" s="83">
        <v>45580</v>
      </c>
    </row>
    <row r="58" spans="2:8" s="121" customFormat="1" ht="13" x14ac:dyDescent="0.3">
      <c r="B58" s="120">
        <v>6635057</v>
      </c>
      <c r="C58" s="121" t="s">
        <v>1172</v>
      </c>
      <c r="D58" s="121" t="s">
        <v>1108</v>
      </c>
      <c r="E58" s="120">
        <v>180</v>
      </c>
      <c r="F58" s="121" t="s">
        <v>1175</v>
      </c>
      <c r="G58" s="122">
        <v>45575</v>
      </c>
      <c r="H58" s="121" t="s">
        <v>1224</v>
      </c>
    </row>
    <row r="59" spans="2:8" s="121" customFormat="1" ht="13" x14ac:dyDescent="0.3">
      <c r="B59" s="120">
        <v>6630325</v>
      </c>
      <c r="C59" s="121" t="s">
        <v>1196</v>
      </c>
      <c r="D59" s="121" t="s">
        <v>1202</v>
      </c>
      <c r="E59" s="120">
        <v>30</v>
      </c>
      <c r="F59" s="121" t="s">
        <v>105</v>
      </c>
      <c r="G59" s="122">
        <v>45573</v>
      </c>
    </row>
    <row r="60" spans="2:8" x14ac:dyDescent="0.25">
      <c r="B60" s="118">
        <v>6627088</v>
      </c>
      <c r="C60" s="38" t="s">
        <v>1170</v>
      </c>
      <c r="D60" s="38" t="s">
        <v>1169</v>
      </c>
      <c r="E60" s="118">
        <v>24</v>
      </c>
      <c r="F60" s="38" t="s">
        <v>119</v>
      </c>
      <c r="G60" s="83">
        <v>45569</v>
      </c>
    </row>
    <row r="61" spans="2:8" s="55" customFormat="1" ht="13" x14ac:dyDescent="0.3">
      <c r="B61" s="123">
        <v>6607185</v>
      </c>
      <c r="C61" s="55" t="s">
        <v>1225</v>
      </c>
      <c r="D61" s="55" t="s">
        <v>1226</v>
      </c>
      <c r="E61" s="123">
        <v>750</v>
      </c>
      <c r="F61" s="55" t="s">
        <v>119</v>
      </c>
      <c r="G61" s="124">
        <v>45558</v>
      </c>
    </row>
    <row r="62" spans="2:8" x14ac:dyDescent="0.25">
      <c r="B62" s="118">
        <v>6606106</v>
      </c>
      <c r="C62" s="38" t="s">
        <v>1227</v>
      </c>
      <c r="D62" s="38" t="s">
        <v>518</v>
      </c>
      <c r="E62" s="118">
        <v>230</v>
      </c>
      <c r="F62" s="38" t="s">
        <v>119</v>
      </c>
      <c r="G62" s="83">
        <v>45555</v>
      </c>
    </row>
    <row r="63" spans="2:8" x14ac:dyDescent="0.25">
      <c r="B63" s="118">
        <v>6598631</v>
      </c>
      <c r="C63" s="38" t="s">
        <v>716</v>
      </c>
      <c r="D63" s="38" t="s">
        <v>1228</v>
      </c>
      <c r="E63" s="118">
        <v>8</v>
      </c>
      <c r="F63" s="38" t="s">
        <v>105</v>
      </c>
      <c r="G63" s="83">
        <v>45554</v>
      </c>
      <c r="H63" s="38" t="s">
        <v>1229</v>
      </c>
    </row>
    <row r="64" spans="2:8" x14ac:dyDescent="0.25">
      <c r="B64" s="118">
        <v>6588296</v>
      </c>
      <c r="C64" s="38" t="s">
        <v>444</v>
      </c>
      <c r="D64" s="38" t="s">
        <v>1188</v>
      </c>
      <c r="E64" s="118">
        <v>250</v>
      </c>
      <c r="F64" s="38" t="s">
        <v>47</v>
      </c>
      <c r="G64" s="83">
        <v>45554</v>
      </c>
    </row>
    <row r="65" spans="2:7" x14ac:dyDescent="0.25">
      <c r="B65" s="118">
        <v>6598943</v>
      </c>
      <c r="C65" s="38" t="s">
        <v>721</v>
      </c>
      <c r="D65" s="38" t="s">
        <v>1212</v>
      </c>
      <c r="E65" s="118">
        <v>140</v>
      </c>
      <c r="F65" s="38" t="s">
        <v>105</v>
      </c>
      <c r="G65" s="83">
        <v>45554</v>
      </c>
    </row>
    <row r="66" spans="2:7" x14ac:dyDescent="0.25">
      <c r="B66" s="118">
        <v>6602219</v>
      </c>
      <c r="C66" s="38" t="s">
        <v>1170</v>
      </c>
      <c r="D66" s="38" t="s">
        <v>445</v>
      </c>
      <c r="E66" s="118">
        <v>220</v>
      </c>
      <c r="F66" s="38" t="s">
        <v>105</v>
      </c>
      <c r="G66" s="83">
        <v>45554</v>
      </c>
    </row>
    <row r="67" spans="2:7" x14ac:dyDescent="0.25">
      <c r="B67" s="118">
        <v>6594679</v>
      </c>
      <c r="C67" s="38" t="s">
        <v>1196</v>
      </c>
      <c r="D67" s="38" t="s">
        <v>1230</v>
      </c>
      <c r="E67" s="118">
        <v>73</v>
      </c>
      <c r="F67" s="38" t="s">
        <v>1198</v>
      </c>
      <c r="G67" s="83">
        <v>45554</v>
      </c>
    </row>
    <row r="68" spans="2:7" x14ac:dyDescent="0.25">
      <c r="B68" s="118">
        <v>6594159</v>
      </c>
      <c r="C68" s="38" t="s">
        <v>1231</v>
      </c>
      <c r="D68" s="38" t="s">
        <v>1169</v>
      </c>
      <c r="E68" s="118">
        <v>59</v>
      </c>
      <c r="F68" s="38" t="s">
        <v>119</v>
      </c>
      <c r="G68" s="83">
        <v>45554</v>
      </c>
    </row>
    <row r="69" spans="2:7" x14ac:dyDescent="0.25">
      <c r="B69" s="118">
        <v>6586515</v>
      </c>
      <c r="C69" s="38" t="s">
        <v>1096</v>
      </c>
      <c r="D69" s="38" t="s">
        <v>1097</v>
      </c>
      <c r="E69" s="118">
        <v>540</v>
      </c>
      <c r="F69" s="38" t="s">
        <v>119</v>
      </c>
      <c r="G69" s="83">
        <v>45554</v>
      </c>
    </row>
    <row r="70" spans="2:7" x14ac:dyDescent="0.25">
      <c r="B70" s="118">
        <v>6588478</v>
      </c>
      <c r="C70" s="38" t="s">
        <v>532</v>
      </c>
      <c r="D70" s="38" t="s">
        <v>519</v>
      </c>
      <c r="E70" s="118">
        <v>249</v>
      </c>
      <c r="F70" s="38" t="s">
        <v>105</v>
      </c>
      <c r="G70" s="83">
        <v>45554</v>
      </c>
    </row>
    <row r="71" spans="2:7" x14ac:dyDescent="0.25">
      <c r="B71" s="118">
        <v>6603571</v>
      </c>
      <c r="C71" s="38" t="s">
        <v>1168</v>
      </c>
      <c r="D71" s="38" t="s">
        <v>518</v>
      </c>
      <c r="E71" s="118">
        <v>350</v>
      </c>
      <c r="F71" s="38" t="s">
        <v>105</v>
      </c>
      <c r="G71" s="83">
        <v>45554</v>
      </c>
    </row>
    <row r="72" spans="2:7" x14ac:dyDescent="0.25">
      <c r="B72" s="118">
        <v>6588283</v>
      </c>
      <c r="C72" s="38" t="s">
        <v>444</v>
      </c>
      <c r="D72" s="38" t="s">
        <v>445</v>
      </c>
      <c r="E72" s="118">
        <v>250</v>
      </c>
      <c r="F72" s="38" t="s">
        <v>47</v>
      </c>
      <c r="G72" s="83">
        <v>45554</v>
      </c>
    </row>
    <row r="73" spans="2:7" x14ac:dyDescent="0.25">
      <c r="B73" s="118">
        <v>6584916</v>
      </c>
      <c r="C73" s="38" t="s">
        <v>1214</v>
      </c>
      <c r="D73" s="38" t="s">
        <v>518</v>
      </c>
      <c r="E73" s="118">
        <v>300</v>
      </c>
      <c r="F73" s="38" t="s">
        <v>47</v>
      </c>
      <c r="G73" s="83">
        <v>45540</v>
      </c>
    </row>
    <row r="74" spans="2:7" x14ac:dyDescent="0.25">
      <c r="B74" s="118">
        <v>6568042</v>
      </c>
      <c r="C74" s="38" t="s">
        <v>1092</v>
      </c>
      <c r="D74" s="38" t="s">
        <v>1233</v>
      </c>
      <c r="E74" s="118">
        <v>450</v>
      </c>
      <c r="F74" s="38" t="s">
        <v>105</v>
      </c>
      <c r="G74" s="83">
        <v>45527</v>
      </c>
    </row>
    <row r="75" spans="2:7" x14ac:dyDescent="0.25">
      <c r="B75" s="118">
        <v>6566170</v>
      </c>
      <c r="C75" s="38" t="s">
        <v>1234</v>
      </c>
      <c r="D75" s="38" t="s">
        <v>1218</v>
      </c>
      <c r="E75" s="118">
        <v>3060</v>
      </c>
      <c r="F75" s="38" t="s">
        <v>1235</v>
      </c>
      <c r="G75" s="83">
        <v>45526</v>
      </c>
    </row>
    <row r="76" spans="2:7" x14ac:dyDescent="0.25">
      <c r="B76" s="118">
        <v>6565195</v>
      </c>
      <c r="C76" s="38" t="s">
        <v>1094</v>
      </c>
      <c r="D76" s="38" t="s">
        <v>759</v>
      </c>
      <c r="E76" s="118">
        <v>108</v>
      </c>
      <c r="F76" s="38" t="s">
        <v>119</v>
      </c>
      <c r="G76" s="83">
        <v>45525</v>
      </c>
    </row>
    <row r="77" spans="2:7" x14ac:dyDescent="0.25">
      <c r="B77" s="118">
        <v>6561685</v>
      </c>
      <c r="C77" s="38" t="s">
        <v>1236</v>
      </c>
      <c r="D77" s="38" t="s">
        <v>1202</v>
      </c>
      <c r="E77" s="118">
        <v>160</v>
      </c>
      <c r="F77" s="38" t="s">
        <v>119</v>
      </c>
      <c r="G77" s="83">
        <v>45524</v>
      </c>
    </row>
    <row r="78" spans="2:7" x14ac:dyDescent="0.25">
      <c r="B78" s="118">
        <v>6557356</v>
      </c>
      <c r="C78" s="38" t="s">
        <v>1237</v>
      </c>
      <c r="D78" s="38" t="s">
        <v>518</v>
      </c>
      <c r="E78" s="118">
        <v>105</v>
      </c>
      <c r="F78" s="38" t="s">
        <v>119</v>
      </c>
      <c r="G78" s="83">
        <v>45520</v>
      </c>
    </row>
    <row r="79" spans="2:7" s="121" customFormat="1" ht="13" x14ac:dyDescent="0.3">
      <c r="B79" s="120">
        <v>6553872</v>
      </c>
      <c r="C79" s="121" t="s">
        <v>532</v>
      </c>
      <c r="D79" s="121" t="s">
        <v>1238</v>
      </c>
      <c r="E79" s="120">
        <v>60</v>
      </c>
      <c r="F79" s="121" t="s">
        <v>105</v>
      </c>
      <c r="G79" s="122">
        <v>45518</v>
      </c>
    </row>
    <row r="80" spans="2:7" x14ac:dyDescent="0.25">
      <c r="B80" s="118">
        <v>6538116</v>
      </c>
      <c r="C80" s="38" t="s">
        <v>1239</v>
      </c>
      <c r="D80" s="38" t="s">
        <v>1218</v>
      </c>
      <c r="E80" s="118">
        <v>300</v>
      </c>
      <c r="F80" s="38" t="s">
        <v>105</v>
      </c>
      <c r="G80" s="83">
        <v>45509</v>
      </c>
    </row>
    <row r="81" spans="2:8" s="121" customFormat="1" ht="13" x14ac:dyDescent="0.3">
      <c r="B81" s="120">
        <v>6516913</v>
      </c>
      <c r="C81" s="121" t="s">
        <v>1240</v>
      </c>
      <c r="D81" s="121" t="s">
        <v>1169</v>
      </c>
      <c r="E81" s="120">
        <v>32</v>
      </c>
      <c r="F81" s="121" t="s">
        <v>1241</v>
      </c>
      <c r="G81" s="122">
        <v>45497</v>
      </c>
    </row>
    <row r="82" spans="2:8" x14ac:dyDescent="0.25">
      <c r="B82" s="118">
        <v>6517888</v>
      </c>
      <c r="C82" s="38" t="s">
        <v>1242</v>
      </c>
      <c r="D82" s="38" t="s">
        <v>1243</v>
      </c>
      <c r="E82" s="118">
        <v>27</v>
      </c>
      <c r="F82" s="38" t="s">
        <v>1198</v>
      </c>
      <c r="G82" s="83">
        <v>45497</v>
      </c>
    </row>
    <row r="83" spans="2:8" x14ac:dyDescent="0.25">
      <c r="B83" s="118">
        <v>6515418</v>
      </c>
      <c r="C83" s="38" t="s">
        <v>1244</v>
      </c>
      <c r="D83" s="38" t="s">
        <v>518</v>
      </c>
      <c r="E83" s="118">
        <v>204</v>
      </c>
      <c r="F83" s="38" t="s">
        <v>105</v>
      </c>
      <c r="G83" s="83">
        <v>45496</v>
      </c>
      <c r="H83" s="38" t="s">
        <v>1229</v>
      </c>
    </row>
    <row r="84" spans="2:8" x14ac:dyDescent="0.25">
      <c r="B84" s="118">
        <v>6503679</v>
      </c>
      <c r="C84" s="38" t="s">
        <v>1170</v>
      </c>
      <c r="D84" s="38" t="s">
        <v>1169</v>
      </c>
      <c r="E84" s="118">
        <v>49</v>
      </c>
      <c r="F84" s="38" t="s">
        <v>119</v>
      </c>
      <c r="G84" s="83">
        <v>45489</v>
      </c>
    </row>
    <row r="85" spans="2:8" x14ac:dyDescent="0.25">
      <c r="B85" s="118">
        <v>6475729</v>
      </c>
      <c r="C85" s="38" t="s">
        <v>880</v>
      </c>
      <c r="D85" s="38" t="s">
        <v>1169</v>
      </c>
      <c r="E85" s="118">
        <v>484</v>
      </c>
      <c r="F85" s="38" t="s">
        <v>119</v>
      </c>
      <c r="G85" s="83">
        <v>45469</v>
      </c>
    </row>
    <row r="86" spans="2:8" x14ac:dyDescent="0.25">
      <c r="B86" s="118">
        <v>6465069</v>
      </c>
      <c r="C86" s="38" t="s">
        <v>1245</v>
      </c>
      <c r="D86" s="38" t="s">
        <v>1202</v>
      </c>
      <c r="E86" s="118">
        <v>420</v>
      </c>
      <c r="F86" s="38" t="s">
        <v>119</v>
      </c>
      <c r="G86" s="83">
        <v>45461</v>
      </c>
    </row>
    <row r="87" spans="2:8" s="121" customFormat="1" ht="13" x14ac:dyDescent="0.3">
      <c r="B87" s="120">
        <v>6458036</v>
      </c>
      <c r="C87" s="121" t="s">
        <v>1246</v>
      </c>
      <c r="D87" s="121" t="s">
        <v>1247</v>
      </c>
      <c r="E87" s="120">
        <v>13</v>
      </c>
      <c r="F87" s="121" t="s">
        <v>105</v>
      </c>
      <c r="G87" s="122">
        <v>45456</v>
      </c>
    </row>
    <row r="88" spans="2:8" x14ac:dyDescent="0.25">
      <c r="B88" s="118">
        <v>6444165</v>
      </c>
      <c r="C88" s="38" t="s">
        <v>854</v>
      </c>
      <c r="D88" s="38" t="s">
        <v>467</v>
      </c>
      <c r="E88" s="118">
        <v>55</v>
      </c>
      <c r="F88" s="38" t="s">
        <v>47</v>
      </c>
      <c r="G88" s="83">
        <v>45448</v>
      </c>
    </row>
    <row r="89" spans="2:8" s="121" customFormat="1" ht="13" x14ac:dyDescent="0.3">
      <c r="B89" s="125">
        <v>6440980</v>
      </c>
      <c r="C89" s="126" t="s">
        <v>1214</v>
      </c>
      <c r="D89" s="126" t="s">
        <v>518</v>
      </c>
      <c r="E89" s="125">
        <v>508</v>
      </c>
      <c r="F89" s="126" t="s">
        <v>119</v>
      </c>
      <c r="G89" s="127">
        <v>45447</v>
      </c>
    </row>
    <row r="90" spans="2:8" s="121" customFormat="1" ht="13" x14ac:dyDescent="0.3">
      <c r="B90" s="125">
        <v>6439277</v>
      </c>
      <c r="C90" s="126" t="s">
        <v>1172</v>
      </c>
      <c r="D90" s="126" t="s">
        <v>518</v>
      </c>
      <c r="E90" s="125">
        <v>300</v>
      </c>
      <c r="F90" s="126" t="s">
        <v>47</v>
      </c>
      <c r="G90" s="127">
        <v>45446</v>
      </c>
    </row>
    <row r="91" spans="2:8" s="121" customFormat="1" ht="13" x14ac:dyDescent="0.3">
      <c r="B91" s="125">
        <v>6413706</v>
      </c>
      <c r="C91" s="126" t="s">
        <v>1196</v>
      </c>
      <c r="D91" s="126" t="s">
        <v>1248</v>
      </c>
      <c r="E91" s="125">
        <v>45</v>
      </c>
      <c r="F91" s="126" t="s">
        <v>105</v>
      </c>
      <c r="G91" s="127">
        <v>45426</v>
      </c>
    </row>
    <row r="92" spans="2:8" x14ac:dyDescent="0.25">
      <c r="B92" s="118">
        <v>6400472</v>
      </c>
      <c r="C92" s="38" t="s">
        <v>1249</v>
      </c>
      <c r="D92" s="38" t="s">
        <v>1202</v>
      </c>
      <c r="E92" s="118">
        <v>360</v>
      </c>
      <c r="F92" s="38" t="s">
        <v>119</v>
      </c>
      <c r="G92" s="83">
        <v>45418</v>
      </c>
    </row>
    <row r="93" spans="2:8" x14ac:dyDescent="0.25">
      <c r="B93" s="118">
        <v>6395012</v>
      </c>
      <c r="C93" s="38" t="s">
        <v>1250</v>
      </c>
      <c r="D93" s="38" t="s">
        <v>1169</v>
      </c>
      <c r="E93" s="118">
        <v>153</v>
      </c>
      <c r="F93" s="38" t="s">
        <v>119</v>
      </c>
      <c r="G93" s="83">
        <v>45413</v>
      </c>
    </row>
    <row r="94" spans="2:8" s="121" customFormat="1" ht="13" x14ac:dyDescent="0.3">
      <c r="B94" s="120">
        <v>6390956</v>
      </c>
      <c r="C94" s="121" t="s">
        <v>532</v>
      </c>
      <c r="D94" s="121" t="s">
        <v>1251</v>
      </c>
      <c r="E94" s="120">
        <v>23</v>
      </c>
      <c r="F94" s="121" t="s">
        <v>105</v>
      </c>
      <c r="G94" s="122">
        <v>45412</v>
      </c>
    </row>
    <row r="95" spans="2:8" x14ac:dyDescent="0.25">
      <c r="B95" s="118">
        <v>6383390</v>
      </c>
      <c r="C95" s="38" t="s">
        <v>1192</v>
      </c>
      <c r="D95" s="38" t="s">
        <v>1252</v>
      </c>
      <c r="E95" s="118">
        <v>10000</v>
      </c>
      <c r="F95" s="38" t="s">
        <v>47</v>
      </c>
      <c r="G95" s="83">
        <v>45407</v>
      </c>
    </row>
    <row r="96" spans="2:8" x14ac:dyDescent="0.25">
      <c r="B96" s="118">
        <v>6373146</v>
      </c>
      <c r="C96" s="38" t="s">
        <v>1253</v>
      </c>
      <c r="D96" s="38" t="s">
        <v>518</v>
      </c>
      <c r="E96" s="118">
        <v>360</v>
      </c>
      <c r="F96" s="38" t="s">
        <v>105</v>
      </c>
      <c r="G96" s="83">
        <v>45400</v>
      </c>
    </row>
    <row r="97" spans="2:8" x14ac:dyDescent="0.25">
      <c r="B97" s="118">
        <v>6370715</v>
      </c>
      <c r="C97" s="38" t="s">
        <v>1254</v>
      </c>
      <c r="D97" s="38" t="s">
        <v>1108</v>
      </c>
      <c r="E97" s="118">
        <v>112</v>
      </c>
      <c r="F97" s="38" t="s">
        <v>1175</v>
      </c>
      <c r="G97" s="83">
        <v>45399</v>
      </c>
      <c r="H97" s="38" t="s">
        <v>1255</v>
      </c>
    </row>
    <row r="98" spans="2:8" ht="13" x14ac:dyDescent="0.3">
      <c r="B98" s="125">
        <v>6370728</v>
      </c>
      <c r="C98" s="126" t="s">
        <v>564</v>
      </c>
      <c r="D98" s="126" t="s">
        <v>1169</v>
      </c>
      <c r="E98" s="125">
        <v>30</v>
      </c>
      <c r="F98" s="126" t="s">
        <v>119</v>
      </c>
      <c r="G98" s="127">
        <v>45399</v>
      </c>
    </row>
    <row r="99" spans="2:8" ht="13" x14ac:dyDescent="0.3">
      <c r="B99" s="125">
        <v>6365788</v>
      </c>
      <c r="C99" s="126" t="s">
        <v>1196</v>
      </c>
      <c r="D99" s="126" t="s">
        <v>1256</v>
      </c>
      <c r="E99" s="125">
        <v>53</v>
      </c>
      <c r="F99" s="126" t="s">
        <v>105</v>
      </c>
      <c r="G99" s="127">
        <v>45397</v>
      </c>
    </row>
    <row r="100" spans="2:8" ht="13" x14ac:dyDescent="0.3">
      <c r="B100" s="125">
        <v>6366347</v>
      </c>
      <c r="C100" s="126" t="s">
        <v>1196</v>
      </c>
      <c r="D100" s="126" t="s">
        <v>1257</v>
      </c>
      <c r="E100" s="125">
        <v>76</v>
      </c>
      <c r="F100" s="126" t="s">
        <v>105</v>
      </c>
      <c r="G100" s="127">
        <v>45397</v>
      </c>
    </row>
    <row r="101" spans="2:8" x14ac:dyDescent="0.25">
      <c r="B101" s="118">
        <v>6362265</v>
      </c>
      <c r="C101" s="38" t="s">
        <v>1258</v>
      </c>
      <c r="D101" s="38" t="s">
        <v>1108</v>
      </c>
      <c r="E101" s="118">
        <v>22</v>
      </c>
      <c r="F101" s="38" t="s">
        <v>119</v>
      </c>
      <c r="G101" s="83">
        <v>45394</v>
      </c>
      <c r="H101" s="38" t="s">
        <v>1259</v>
      </c>
    </row>
    <row r="102" spans="2:8" x14ac:dyDescent="0.25">
      <c r="B102" s="118">
        <v>6354660</v>
      </c>
      <c r="C102" s="38" t="s">
        <v>1192</v>
      </c>
      <c r="D102" s="38" t="s">
        <v>1108</v>
      </c>
      <c r="E102" s="118">
        <v>480</v>
      </c>
      <c r="F102" s="38" t="s">
        <v>47</v>
      </c>
      <c r="G102" s="83">
        <v>45391</v>
      </c>
    </row>
    <row r="103" spans="2:8" x14ac:dyDescent="0.25">
      <c r="B103" s="118">
        <v>6347003</v>
      </c>
      <c r="C103" s="38" t="s">
        <v>1260</v>
      </c>
      <c r="D103" s="38" t="s">
        <v>1261</v>
      </c>
      <c r="E103" s="118">
        <v>405</v>
      </c>
      <c r="F103" s="38" t="s">
        <v>47</v>
      </c>
      <c r="G103" s="83">
        <v>45386</v>
      </c>
    </row>
    <row r="104" spans="2:8" x14ac:dyDescent="0.25">
      <c r="B104" s="118">
        <v>6347133</v>
      </c>
      <c r="C104" s="38" t="s">
        <v>1260</v>
      </c>
      <c r="D104" s="38" t="s">
        <v>1261</v>
      </c>
      <c r="E104" s="118">
        <v>1328</v>
      </c>
      <c r="F104" s="38" t="s">
        <v>47</v>
      </c>
      <c r="G104" s="83">
        <v>45386</v>
      </c>
    </row>
    <row r="105" spans="2:8" x14ac:dyDescent="0.25">
      <c r="B105" s="118">
        <v>6345794</v>
      </c>
      <c r="C105" s="38" t="s">
        <v>1170</v>
      </c>
      <c r="D105" s="38" t="s">
        <v>1169</v>
      </c>
      <c r="E105" s="118">
        <v>50</v>
      </c>
      <c r="F105" s="38" t="s">
        <v>119</v>
      </c>
      <c r="G105" s="83">
        <v>45385</v>
      </c>
    </row>
    <row r="106" spans="2:8" x14ac:dyDescent="0.25">
      <c r="B106" s="118">
        <v>6345066</v>
      </c>
      <c r="C106" s="38" t="s">
        <v>1232</v>
      </c>
      <c r="D106" s="38" t="s">
        <v>518</v>
      </c>
      <c r="E106" s="118">
        <v>96</v>
      </c>
      <c r="F106" s="38" t="s">
        <v>119</v>
      </c>
      <c r="G106" s="83">
        <v>45385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DC64-4DB9-4900-901A-77A5238D22D0}">
  <dimension ref="A1:C12"/>
  <sheetViews>
    <sheetView zoomScale="220" zoomScaleNormal="220" workbookViewId="0">
      <selection activeCell="C13" sqref="C13"/>
    </sheetView>
  </sheetViews>
  <sheetFormatPr defaultRowHeight="12.5" x14ac:dyDescent="0.25"/>
  <cols>
    <col min="1" max="1" width="5" bestFit="1" customWidth="1"/>
    <col min="2" max="2" width="12.26953125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1079</v>
      </c>
    </row>
    <row r="3" spans="1:3" x14ac:dyDescent="0.25">
      <c r="B3" s="38" t="s">
        <v>403</v>
      </c>
      <c r="C3" s="38" t="s">
        <v>727</v>
      </c>
    </row>
    <row r="4" spans="1:3" x14ac:dyDescent="0.25">
      <c r="B4" s="38" t="s">
        <v>1</v>
      </c>
      <c r="C4" s="38" t="s">
        <v>120</v>
      </c>
    </row>
    <row r="5" spans="1:3" x14ac:dyDescent="0.25">
      <c r="B5" s="38" t="s">
        <v>405</v>
      </c>
      <c r="C5" s="38" t="s">
        <v>1082</v>
      </c>
    </row>
    <row r="6" spans="1:3" x14ac:dyDescent="0.25">
      <c r="B6" s="38" t="s">
        <v>92</v>
      </c>
    </row>
    <row r="7" spans="1:3" ht="13" x14ac:dyDescent="0.3">
      <c r="C7" s="20" t="s">
        <v>1083</v>
      </c>
    </row>
    <row r="11" spans="1:3" ht="13" x14ac:dyDescent="0.3">
      <c r="C11" s="20" t="s">
        <v>1081</v>
      </c>
    </row>
    <row r="12" spans="1:3" x14ac:dyDescent="0.25">
      <c r="C12" s="38" t="s">
        <v>1084</v>
      </c>
    </row>
  </sheetData>
  <hyperlinks>
    <hyperlink ref="A1" location="Main!A1" display="Main" xr:uid="{67F424B5-F545-44D6-88A5-3678751A9556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 x14ac:dyDescent="0.25">
      <c r="A1" s="15" t="s">
        <v>6</v>
      </c>
    </row>
    <row r="2" spans="1:3" x14ac:dyDescent="0.25">
      <c r="B2" s="1" t="s">
        <v>50</v>
      </c>
      <c r="C2" s="1" t="s">
        <v>70</v>
      </c>
    </row>
    <row r="3" spans="1:3" x14ac:dyDescent="0.25">
      <c r="B3" s="1" t="s">
        <v>48</v>
      </c>
      <c r="C3" s="1" t="s">
        <v>221</v>
      </c>
    </row>
    <row r="4" spans="1:3" x14ac:dyDescent="0.25">
      <c r="B4" s="1" t="s">
        <v>2</v>
      </c>
      <c r="C4" s="1" t="s">
        <v>222</v>
      </c>
    </row>
    <row r="5" spans="1:3" x14ac:dyDescent="0.25">
      <c r="B5" s="1" t="s">
        <v>3</v>
      </c>
      <c r="C5" s="1" t="s">
        <v>225</v>
      </c>
    </row>
    <row r="6" spans="1:3" x14ac:dyDescent="0.25">
      <c r="B6" s="1" t="s">
        <v>226</v>
      </c>
      <c r="C6" s="1" t="s">
        <v>35</v>
      </c>
    </row>
    <row r="7" spans="1:3" x14ac:dyDescent="0.25">
      <c r="B7" s="1" t="s">
        <v>137</v>
      </c>
      <c r="C7" s="1" t="s">
        <v>22</v>
      </c>
    </row>
    <row r="8" spans="1:3" x14ac:dyDescent="0.25">
      <c r="B8" s="1" t="s">
        <v>92</v>
      </c>
    </row>
    <row r="9" spans="1:3" x14ac:dyDescent="0.25">
      <c r="C9" s="1" t="s">
        <v>20</v>
      </c>
    </row>
    <row r="10" spans="1:3" x14ac:dyDescent="0.25">
      <c r="C10" s="1" t="s">
        <v>21</v>
      </c>
    </row>
    <row r="14" spans="1:3" ht="13" x14ac:dyDescent="0.3">
      <c r="C14" s="16" t="s">
        <v>223</v>
      </c>
    </row>
    <row r="15" spans="1:3" x14ac:dyDescent="0.25">
      <c r="C15" s="1" t="s">
        <v>224</v>
      </c>
    </row>
    <row r="16" spans="1:3" x14ac:dyDescent="0.25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3" width="10.453125" style="1" bestFit="1" customWidth="1"/>
    <col min="4" max="16384" width="9.1796875" style="1"/>
  </cols>
  <sheetData>
    <row r="1" spans="1:7" x14ac:dyDescent="0.25">
      <c r="A1" s="15" t="s">
        <v>6</v>
      </c>
    </row>
    <row r="2" spans="1:7" x14ac:dyDescent="0.25">
      <c r="B2" s="1" t="s">
        <v>50</v>
      </c>
      <c r="C2" s="1" t="s">
        <v>196</v>
      </c>
    </row>
    <row r="3" spans="1:7" x14ac:dyDescent="0.25">
      <c r="B3" s="1" t="s">
        <v>48</v>
      </c>
      <c r="C3" s="1" t="s">
        <v>75</v>
      </c>
    </row>
    <row r="4" spans="1:7" x14ac:dyDescent="0.25">
      <c r="B4" s="1" t="s">
        <v>91</v>
      </c>
      <c r="C4" s="21" t="s">
        <v>248</v>
      </c>
    </row>
    <row r="5" spans="1:7" x14ac:dyDescent="0.25">
      <c r="B5" s="1" t="s">
        <v>51</v>
      </c>
      <c r="C5" s="1" t="s">
        <v>168</v>
      </c>
    </row>
    <row r="6" spans="1:7" x14ac:dyDescent="0.25">
      <c r="C6" s="1" t="s">
        <v>167</v>
      </c>
    </row>
    <row r="7" spans="1:7" x14ac:dyDescent="0.25">
      <c r="C7" s="1" t="s">
        <v>169</v>
      </c>
    </row>
    <row r="8" spans="1:7" x14ac:dyDescent="0.25">
      <c r="C8" s="1" t="s">
        <v>171</v>
      </c>
    </row>
    <row r="9" spans="1:7" x14ac:dyDescent="0.25">
      <c r="C9" s="1" t="s">
        <v>180</v>
      </c>
    </row>
    <row r="10" spans="1:7" x14ac:dyDescent="0.25">
      <c r="B10" s="1" t="s">
        <v>2</v>
      </c>
      <c r="C10" s="1" t="s">
        <v>129</v>
      </c>
    </row>
    <row r="11" spans="1:7" x14ac:dyDescent="0.25">
      <c r="B11" s="1" t="s">
        <v>131</v>
      </c>
      <c r="C11" s="1" t="s">
        <v>132</v>
      </c>
    </row>
    <row r="12" spans="1:7" x14ac:dyDescent="0.25">
      <c r="B12" s="21" t="s">
        <v>164</v>
      </c>
      <c r="C12" s="21"/>
      <c r="D12" s="39" t="s">
        <v>261</v>
      </c>
      <c r="E12" s="39" t="s">
        <v>101</v>
      </c>
      <c r="F12" s="39" t="s">
        <v>263</v>
      </c>
      <c r="G12" s="39" t="s">
        <v>264</v>
      </c>
    </row>
    <row r="13" spans="1:7" x14ac:dyDescent="0.25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25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25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25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25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25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25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25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25">
      <c r="B21" s="21"/>
      <c r="C21" s="21"/>
    </row>
    <row r="22" spans="2:7" x14ac:dyDescent="0.25">
      <c r="B22" s="21" t="s">
        <v>172</v>
      </c>
      <c r="C22" s="21" t="s">
        <v>262</v>
      </c>
    </row>
    <row r="23" spans="2:7" x14ac:dyDescent="0.25">
      <c r="B23" s="1" t="s">
        <v>92</v>
      </c>
    </row>
    <row r="24" spans="2:7" x14ac:dyDescent="0.25">
      <c r="C24" s="1" t="s">
        <v>24</v>
      </c>
    </row>
    <row r="25" spans="2:7" x14ac:dyDescent="0.25">
      <c r="C25" s="1" t="s">
        <v>219</v>
      </c>
    </row>
    <row r="27" spans="2:7" ht="13" x14ac:dyDescent="0.3">
      <c r="C27" s="16" t="s">
        <v>184</v>
      </c>
    </row>
    <row r="28" spans="2:7" x14ac:dyDescent="0.25">
      <c r="C28" s="1" t="s">
        <v>182</v>
      </c>
    </row>
    <row r="29" spans="2:7" x14ac:dyDescent="0.25">
      <c r="C29" s="1" t="s">
        <v>109</v>
      </c>
    </row>
    <row r="30" spans="2:7" ht="13" x14ac:dyDescent="0.3">
      <c r="C30" s="19" t="s">
        <v>230</v>
      </c>
    </row>
    <row r="31" spans="2:7" x14ac:dyDescent="0.25">
      <c r="C31" s="1" t="s">
        <v>130</v>
      </c>
    </row>
    <row r="32" spans="2:7" x14ac:dyDescent="0.25">
      <c r="C32" s="1" t="s">
        <v>229</v>
      </c>
    </row>
    <row r="33" spans="3:3" x14ac:dyDescent="0.25">
      <c r="C33" s="1" t="s">
        <v>161</v>
      </c>
    </row>
    <row r="34" spans="3:3" x14ac:dyDescent="0.25">
      <c r="C34" s="1" t="s">
        <v>170</v>
      </c>
    </row>
    <row r="35" spans="3:3" x14ac:dyDescent="0.25">
      <c r="C35" s="1" t="s">
        <v>181</v>
      </c>
    </row>
    <row r="36" spans="3:3" x14ac:dyDescent="0.25">
      <c r="C36" s="1" t="s">
        <v>240</v>
      </c>
    </row>
    <row r="38" spans="3:3" ht="13" x14ac:dyDescent="0.3">
      <c r="C38" s="16" t="s">
        <v>94</v>
      </c>
    </row>
    <row r="39" spans="3:3" x14ac:dyDescent="0.25">
      <c r="C39" s="1" t="s">
        <v>95</v>
      </c>
    </row>
    <row r="40" spans="3:3" x14ac:dyDescent="0.25">
      <c r="C40" s="1" t="s">
        <v>102</v>
      </c>
    </row>
    <row r="41" spans="3:3" ht="13" x14ac:dyDescent="0.3">
      <c r="C41" s="19" t="s">
        <v>103</v>
      </c>
    </row>
    <row r="42" spans="3:3" x14ac:dyDescent="0.25">
      <c r="C42" s="1" t="s">
        <v>104</v>
      </c>
    </row>
    <row r="43" spans="3:3" x14ac:dyDescent="0.25">
      <c r="C43" s="1" t="s">
        <v>162</v>
      </c>
    </row>
    <row r="44" spans="3:3" x14ac:dyDescent="0.25">
      <c r="C44" s="1" t="s">
        <v>177</v>
      </c>
    </row>
    <row r="46" spans="3:3" ht="13" x14ac:dyDescent="0.3">
      <c r="C46" s="16" t="s">
        <v>328</v>
      </c>
    </row>
    <row r="47" spans="3:3" x14ac:dyDescent="0.25">
      <c r="C47" s="21" t="s">
        <v>326</v>
      </c>
    </row>
    <row r="48" spans="3:3" x14ac:dyDescent="0.25">
      <c r="C48" s="21" t="s">
        <v>327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3.453125" style="1" customWidth="1"/>
    <col min="3" max="16384" width="9.1796875" style="1"/>
  </cols>
  <sheetData>
    <row r="1" spans="1:3" x14ac:dyDescent="0.25">
      <c r="A1" s="15" t="s">
        <v>6</v>
      </c>
    </row>
    <row r="2" spans="1:3" x14ac:dyDescent="0.25">
      <c r="A2" s="15"/>
      <c r="B2" s="1" t="s">
        <v>50</v>
      </c>
    </row>
    <row r="3" spans="1:3" x14ac:dyDescent="0.25">
      <c r="A3" s="15"/>
      <c r="B3" s="1" t="s">
        <v>48</v>
      </c>
      <c r="C3" s="1" t="s">
        <v>49</v>
      </c>
    </row>
    <row r="4" spans="1:3" x14ac:dyDescent="0.25">
      <c r="A4" s="15"/>
      <c r="B4" s="1" t="s">
        <v>1</v>
      </c>
      <c r="C4" s="1" t="s">
        <v>121</v>
      </c>
    </row>
    <row r="5" spans="1:3" x14ac:dyDescent="0.25">
      <c r="A5" s="15"/>
      <c r="B5" s="1" t="s">
        <v>51</v>
      </c>
      <c r="C5" s="1" t="s">
        <v>52</v>
      </c>
    </row>
    <row r="6" spans="1:3" x14ac:dyDescent="0.25">
      <c r="A6" s="15"/>
      <c r="B6" s="1" t="s">
        <v>92</v>
      </c>
    </row>
    <row r="7" spans="1:3" ht="13" x14ac:dyDescent="0.3">
      <c r="C7" s="16" t="s">
        <v>303</v>
      </c>
    </row>
    <row r="8" spans="1:3" x14ac:dyDescent="0.25">
      <c r="C8" s="1" t="s">
        <v>46</v>
      </c>
    </row>
    <row r="10" spans="1:3" ht="13" x14ac:dyDescent="0.3">
      <c r="C10" s="16" t="s">
        <v>53</v>
      </c>
    </row>
    <row r="11" spans="1:3" x14ac:dyDescent="0.25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13" t="s">
        <v>6</v>
      </c>
    </row>
    <row r="2" spans="1:3" x14ac:dyDescent="0.25">
      <c r="B2" t="s">
        <v>50</v>
      </c>
    </row>
    <row r="3" spans="1:3" x14ac:dyDescent="0.25">
      <c r="B3" t="s">
        <v>48</v>
      </c>
      <c r="C3" t="s">
        <v>112</v>
      </c>
    </row>
    <row r="4" spans="1:3" x14ac:dyDescent="0.25">
      <c r="B4" t="s">
        <v>1</v>
      </c>
      <c r="C4" t="s">
        <v>115</v>
      </c>
    </row>
    <row r="5" spans="1:3" x14ac:dyDescent="0.25">
      <c r="B5" t="s">
        <v>91</v>
      </c>
      <c r="C5" t="s">
        <v>26</v>
      </c>
    </row>
    <row r="6" spans="1:3" x14ac:dyDescent="0.25">
      <c r="B6" t="s">
        <v>3</v>
      </c>
      <c r="C6" t="s">
        <v>28</v>
      </c>
    </row>
    <row r="7" spans="1:3" x14ac:dyDescent="0.25">
      <c r="B7" t="s">
        <v>92</v>
      </c>
      <c r="C7" t="s">
        <v>27</v>
      </c>
    </row>
    <row r="9" spans="1:3" ht="13" x14ac:dyDescent="0.3">
      <c r="C9" s="20" t="s">
        <v>113</v>
      </c>
    </row>
    <row r="10" spans="1:3" x14ac:dyDescent="0.25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zoomScale="145" zoomScaleNormal="145" workbookViewId="0"/>
  </sheetViews>
  <sheetFormatPr defaultColWidth="9.1796875" defaultRowHeight="12.5" x14ac:dyDescent="0.25"/>
  <cols>
    <col min="1" max="1" width="5" style="1" bestFit="1" customWidth="1"/>
    <col min="2" max="2" width="12" style="1" bestFit="1" customWidth="1"/>
    <col min="3" max="16384" width="9.1796875" style="1"/>
  </cols>
  <sheetData>
    <row r="1" spans="1:3" x14ac:dyDescent="0.25">
      <c r="A1" s="15" t="s">
        <v>6</v>
      </c>
    </row>
    <row r="2" spans="1:3" x14ac:dyDescent="0.25">
      <c r="B2" s="1" t="s">
        <v>50</v>
      </c>
      <c r="C2" s="1" t="s">
        <v>178</v>
      </c>
    </row>
    <row r="3" spans="1:3" x14ac:dyDescent="0.25">
      <c r="B3" s="1" t="s">
        <v>2</v>
      </c>
      <c r="C3" s="1" t="s">
        <v>234</v>
      </c>
    </row>
    <row r="4" spans="1:3" x14ac:dyDescent="0.25">
      <c r="B4" s="1" t="s">
        <v>1</v>
      </c>
      <c r="C4" s="1" t="s">
        <v>237</v>
      </c>
    </row>
    <row r="5" spans="1:3" x14ac:dyDescent="0.25">
      <c r="B5" s="1" t="s">
        <v>92</v>
      </c>
    </row>
    <row r="6" spans="1:3" ht="13" x14ac:dyDescent="0.3">
      <c r="C6" s="16" t="s">
        <v>236</v>
      </c>
    </row>
    <row r="9" spans="1:3" ht="13" x14ac:dyDescent="0.3">
      <c r="C9" s="16" t="s">
        <v>235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zoomScale="175" zoomScaleNormal="175" workbookViewId="0"/>
  </sheetViews>
  <sheetFormatPr defaultColWidth="9.1796875" defaultRowHeight="12.5" x14ac:dyDescent="0.25"/>
  <cols>
    <col min="1" max="1" width="5" style="1" bestFit="1" customWidth="1"/>
    <col min="2" max="2" width="14.1796875" style="1" customWidth="1"/>
    <col min="3" max="16384" width="9.1796875" style="1"/>
  </cols>
  <sheetData>
    <row r="1" spans="1:4" x14ac:dyDescent="0.25">
      <c r="A1" s="15" t="s">
        <v>6</v>
      </c>
    </row>
    <row r="2" spans="1:4" x14ac:dyDescent="0.25">
      <c r="B2" s="1" t="s">
        <v>50</v>
      </c>
      <c r="C2" s="1" t="s">
        <v>183</v>
      </c>
    </row>
    <row r="3" spans="1:4" x14ac:dyDescent="0.25">
      <c r="B3" s="21" t="s">
        <v>48</v>
      </c>
      <c r="C3" s="21" t="s">
        <v>321</v>
      </c>
    </row>
    <row r="4" spans="1:4" x14ac:dyDescent="0.25">
      <c r="B4" s="1" t="s">
        <v>1</v>
      </c>
      <c r="C4" s="1" t="s">
        <v>208</v>
      </c>
    </row>
    <row r="5" spans="1:4" x14ac:dyDescent="0.25">
      <c r="B5" s="1" t="s">
        <v>51</v>
      </c>
      <c r="C5" s="1" t="s">
        <v>209</v>
      </c>
    </row>
    <row r="6" spans="1:4" x14ac:dyDescent="0.25">
      <c r="B6" s="1" t="s">
        <v>92</v>
      </c>
    </row>
    <row r="7" spans="1:4" ht="13" x14ac:dyDescent="0.3">
      <c r="C7" s="16" t="s">
        <v>211</v>
      </c>
    </row>
    <row r="8" spans="1:4" x14ac:dyDescent="0.25">
      <c r="C8" s="1" t="s">
        <v>210</v>
      </c>
    </row>
    <row r="9" spans="1:4" x14ac:dyDescent="0.25">
      <c r="C9" s="1" t="s">
        <v>212</v>
      </c>
    </row>
    <row r="11" spans="1:4" x14ac:dyDescent="0.25">
      <c r="C11" s="1" t="s">
        <v>213</v>
      </c>
    </row>
    <row r="12" spans="1:4" x14ac:dyDescent="0.25">
      <c r="C12" s="1" t="s">
        <v>214</v>
      </c>
    </row>
    <row r="13" spans="1:4" x14ac:dyDescent="0.25">
      <c r="D13" s="1" t="s">
        <v>215</v>
      </c>
    </row>
    <row r="15" spans="1:4" x14ac:dyDescent="0.25">
      <c r="C15" s="1" t="s">
        <v>227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42"/>
  <sheetViews>
    <sheetView zoomScale="160" zoomScaleNormal="160" workbookViewId="0">
      <selection activeCell="B5" sqref="B5"/>
    </sheetView>
  </sheetViews>
  <sheetFormatPr defaultColWidth="9.1796875" defaultRowHeight="12.5" x14ac:dyDescent="0.25"/>
  <cols>
    <col min="1" max="1" width="2.453125" style="1" customWidth="1"/>
    <col min="2" max="2" width="22" style="1" customWidth="1"/>
    <col min="3" max="3" width="27.453125" style="1" bestFit="1" customWidth="1"/>
    <col min="4" max="4" width="16.453125" style="1" bestFit="1" customWidth="1"/>
    <col min="5" max="5" width="11.453125" style="1" customWidth="1"/>
    <col min="6" max="6" width="12.1796875" style="1" customWidth="1"/>
    <col min="7" max="7" width="15.453125" style="1" customWidth="1"/>
    <col min="8" max="8" width="4.54296875" style="1" customWidth="1"/>
    <col min="9" max="9" width="7.453125" style="1" customWidth="1"/>
    <col min="10" max="10" width="8.1796875" style="1" customWidth="1"/>
    <col min="11" max="11" width="6.453125" style="1" customWidth="1"/>
    <col min="12" max="16384" width="9.1796875" style="1"/>
  </cols>
  <sheetData>
    <row r="1" spans="1:11" x14ac:dyDescent="0.25">
      <c r="A1" s="21"/>
    </row>
    <row r="2" spans="1:11" x14ac:dyDescent="0.25">
      <c r="B2" s="2" t="s">
        <v>0</v>
      </c>
      <c r="C2" s="3" t="s">
        <v>1</v>
      </c>
      <c r="D2" s="3" t="s">
        <v>51</v>
      </c>
      <c r="E2" s="3" t="s">
        <v>2</v>
      </c>
      <c r="F2" s="78" t="s">
        <v>446</v>
      </c>
      <c r="G2" s="4" t="s">
        <v>4</v>
      </c>
      <c r="I2" s="1" t="s">
        <v>172</v>
      </c>
      <c r="J2" s="31">
        <v>761</v>
      </c>
    </row>
    <row r="3" spans="1:11" x14ac:dyDescent="0.25">
      <c r="B3" s="14" t="s">
        <v>505</v>
      </c>
      <c r="C3" s="37" t="s">
        <v>36</v>
      </c>
      <c r="D3" s="37" t="s">
        <v>118</v>
      </c>
      <c r="E3" s="11">
        <v>1</v>
      </c>
      <c r="F3" s="30">
        <v>41900</v>
      </c>
      <c r="G3" s="7"/>
      <c r="I3" s="1" t="s">
        <v>84</v>
      </c>
      <c r="J3" s="18">
        <v>900.6</v>
      </c>
      <c r="K3" s="39" t="s">
        <v>688</v>
      </c>
    </row>
    <row r="4" spans="1:11" x14ac:dyDescent="0.25">
      <c r="B4" s="14" t="s">
        <v>517</v>
      </c>
      <c r="C4" s="37" t="s">
        <v>518</v>
      </c>
      <c r="D4" s="37" t="s">
        <v>457</v>
      </c>
      <c r="E4" s="11">
        <v>1</v>
      </c>
      <c r="F4" s="30">
        <v>45238</v>
      </c>
      <c r="G4" s="7"/>
      <c r="I4" s="1" t="s">
        <v>173</v>
      </c>
      <c r="J4" s="18">
        <f>J2*J3</f>
        <v>685356.6</v>
      </c>
      <c r="K4" s="32"/>
    </row>
    <row r="5" spans="1:11" x14ac:dyDescent="0.25">
      <c r="B5" s="14" t="s">
        <v>502</v>
      </c>
      <c r="C5" s="37" t="s">
        <v>520</v>
      </c>
      <c r="D5" s="37" t="s">
        <v>457</v>
      </c>
      <c r="E5" s="11">
        <v>1</v>
      </c>
      <c r="F5" s="81">
        <v>44694</v>
      </c>
      <c r="G5" s="44"/>
      <c r="I5" s="1" t="s">
        <v>174</v>
      </c>
      <c r="J5" s="18">
        <v>6443</v>
      </c>
      <c r="K5" s="39" t="s">
        <v>688</v>
      </c>
    </row>
    <row r="6" spans="1:11" x14ac:dyDescent="0.25">
      <c r="B6" s="68" t="s">
        <v>469</v>
      </c>
      <c r="C6" s="37" t="s">
        <v>36</v>
      </c>
      <c r="D6" s="37" t="s">
        <v>413</v>
      </c>
      <c r="E6" s="40" t="s">
        <v>274</v>
      </c>
      <c r="F6" s="30">
        <v>42354</v>
      </c>
      <c r="G6" s="7"/>
      <c r="I6" s="1" t="s">
        <v>175</v>
      </c>
      <c r="J6" s="18">
        <v>38516</v>
      </c>
      <c r="K6" s="39" t="s">
        <v>688</v>
      </c>
    </row>
    <row r="7" spans="1:11" x14ac:dyDescent="0.25">
      <c r="B7" s="14" t="s">
        <v>420</v>
      </c>
      <c r="C7" s="37" t="s">
        <v>36</v>
      </c>
      <c r="D7" s="37" t="s">
        <v>279</v>
      </c>
      <c r="E7" s="40" t="s">
        <v>274</v>
      </c>
      <c r="F7" s="30">
        <v>41852</v>
      </c>
      <c r="G7" s="7"/>
      <c r="I7" s="1" t="s">
        <v>176</v>
      </c>
      <c r="J7" s="18">
        <f>J4-J5+J6</f>
        <v>717429.6</v>
      </c>
    </row>
    <row r="8" spans="1:11" x14ac:dyDescent="0.25">
      <c r="B8" s="36" t="s">
        <v>312</v>
      </c>
      <c r="C8" s="6" t="s">
        <v>36</v>
      </c>
      <c r="D8" s="6" t="s">
        <v>273</v>
      </c>
      <c r="E8" s="11" t="s">
        <v>274</v>
      </c>
      <c r="F8" s="30">
        <v>40665</v>
      </c>
      <c r="G8" s="7"/>
    </row>
    <row r="9" spans="1:11" x14ac:dyDescent="0.25">
      <c r="B9" s="36" t="s">
        <v>421</v>
      </c>
      <c r="C9" s="37" t="s">
        <v>445</v>
      </c>
      <c r="D9" s="37" t="s">
        <v>442</v>
      </c>
      <c r="E9" s="40">
        <v>1</v>
      </c>
      <c r="F9" s="30">
        <v>42451</v>
      </c>
      <c r="G9" s="7"/>
      <c r="I9" s="21" t="s">
        <v>787</v>
      </c>
    </row>
    <row r="10" spans="1:11" x14ac:dyDescent="0.25">
      <c r="B10" s="36" t="s">
        <v>548</v>
      </c>
      <c r="C10" s="37" t="s">
        <v>453</v>
      </c>
      <c r="D10" s="37" t="s">
        <v>461</v>
      </c>
      <c r="E10" s="40"/>
      <c r="F10" s="30">
        <v>43370</v>
      </c>
      <c r="G10" s="7"/>
      <c r="I10" s="21" t="s">
        <v>458</v>
      </c>
    </row>
    <row r="11" spans="1:11" x14ac:dyDescent="0.25">
      <c r="B11" s="14" t="s">
        <v>531</v>
      </c>
      <c r="C11" s="37" t="s">
        <v>519</v>
      </c>
      <c r="D11" s="6" t="s">
        <v>486</v>
      </c>
      <c r="E11" s="11">
        <v>1</v>
      </c>
      <c r="F11" s="81">
        <v>44953</v>
      </c>
      <c r="G11" s="44"/>
      <c r="I11" s="21" t="s">
        <v>919</v>
      </c>
    </row>
    <row r="12" spans="1:11" x14ac:dyDescent="0.25">
      <c r="B12" s="14" t="s">
        <v>488</v>
      </c>
      <c r="C12" s="37" t="s">
        <v>452</v>
      </c>
      <c r="D12" s="37" t="s">
        <v>460</v>
      </c>
      <c r="E12" s="40"/>
      <c r="F12" s="30">
        <v>43006</v>
      </c>
      <c r="G12" s="7"/>
      <c r="I12" s="21" t="s">
        <v>459</v>
      </c>
    </row>
    <row r="13" spans="1:11" x14ac:dyDescent="0.25">
      <c r="B13" s="36" t="s">
        <v>485</v>
      </c>
      <c r="C13" s="37" t="s">
        <v>451</v>
      </c>
      <c r="D13" s="37" t="s">
        <v>447</v>
      </c>
      <c r="E13" s="40" t="s">
        <v>438</v>
      </c>
      <c r="F13" s="37" t="s">
        <v>549</v>
      </c>
      <c r="G13" s="7"/>
      <c r="I13" s="21" t="s">
        <v>528</v>
      </c>
    </row>
    <row r="14" spans="1:11" x14ac:dyDescent="0.25">
      <c r="B14" s="36" t="s">
        <v>484</v>
      </c>
      <c r="C14" s="37" t="s">
        <v>978</v>
      </c>
      <c r="D14" s="37" t="s">
        <v>977</v>
      </c>
      <c r="E14" s="40"/>
      <c r="F14" s="30">
        <v>43959</v>
      </c>
      <c r="G14" s="7"/>
      <c r="I14" s="21" t="s">
        <v>533</v>
      </c>
    </row>
    <row r="15" spans="1:11" x14ac:dyDescent="0.25">
      <c r="B15" s="36" t="s">
        <v>439</v>
      </c>
      <c r="C15" s="37" t="s">
        <v>504</v>
      </c>
      <c r="D15" s="37" t="s">
        <v>266</v>
      </c>
      <c r="E15" s="40" t="s">
        <v>267</v>
      </c>
      <c r="F15" s="30">
        <v>43251</v>
      </c>
      <c r="G15" s="7"/>
      <c r="I15" s="21" t="s">
        <v>867</v>
      </c>
    </row>
    <row r="16" spans="1:11" x14ac:dyDescent="0.25">
      <c r="B16" s="14" t="s">
        <v>521</v>
      </c>
      <c r="C16" s="37" t="s">
        <v>467</v>
      </c>
      <c r="D16" s="37" t="s">
        <v>522</v>
      </c>
      <c r="E16" s="80" t="s">
        <v>895</v>
      </c>
      <c r="F16" s="81">
        <v>45548</v>
      </c>
      <c r="G16" s="44"/>
      <c r="I16" s="21" t="s">
        <v>873</v>
      </c>
    </row>
    <row r="17" spans="2:9" x14ac:dyDescent="0.25">
      <c r="B17" s="36" t="s">
        <v>471</v>
      </c>
      <c r="C17" s="37" t="s">
        <v>472</v>
      </c>
      <c r="D17" s="37" t="s">
        <v>470</v>
      </c>
      <c r="E17" s="40"/>
      <c r="F17" s="30">
        <v>43670</v>
      </c>
      <c r="G17" s="7"/>
      <c r="I17" s="21" t="s">
        <v>903</v>
      </c>
    </row>
    <row r="18" spans="2:9" x14ac:dyDescent="0.25">
      <c r="B18" s="5" t="s">
        <v>468</v>
      </c>
      <c r="C18" s="6" t="s">
        <v>36</v>
      </c>
      <c r="D18" s="6" t="s">
        <v>117</v>
      </c>
      <c r="E18" s="40" t="s">
        <v>282</v>
      </c>
      <c r="F18" s="30">
        <v>35230</v>
      </c>
      <c r="G18" s="7">
        <v>2013</v>
      </c>
      <c r="I18" s="21" t="s">
        <v>916</v>
      </c>
    </row>
    <row r="19" spans="2:9" x14ac:dyDescent="0.25">
      <c r="B19" s="14" t="s">
        <v>523</v>
      </c>
      <c r="C19" s="37" t="s">
        <v>480</v>
      </c>
      <c r="D19" s="37" t="s">
        <v>524</v>
      </c>
      <c r="E19" s="11" t="s">
        <v>282</v>
      </c>
      <c r="F19" s="81">
        <v>45225</v>
      </c>
      <c r="G19" s="44"/>
      <c r="I19" s="21" t="s">
        <v>1037</v>
      </c>
    </row>
    <row r="20" spans="2:9" x14ac:dyDescent="0.25">
      <c r="B20" s="14" t="s">
        <v>840</v>
      </c>
      <c r="C20" s="37" t="s">
        <v>120</v>
      </c>
      <c r="D20" s="37" t="s">
        <v>179</v>
      </c>
      <c r="E20" s="11">
        <v>1</v>
      </c>
      <c r="F20" s="81">
        <v>45475</v>
      </c>
      <c r="G20" s="44"/>
      <c r="I20" s="21" t="s">
        <v>1048</v>
      </c>
    </row>
    <row r="21" spans="2:9" x14ac:dyDescent="0.25">
      <c r="B21" s="36" t="s">
        <v>57</v>
      </c>
      <c r="C21" s="6" t="s">
        <v>36</v>
      </c>
      <c r="D21" s="6" t="s">
        <v>117</v>
      </c>
      <c r="E21" s="40" t="s">
        <v>282</v>
      </c>
      <c r="F21" s="30">
        <v>33905</v>
      </c>
      <c r="G21" s="7"/>
      <c r="I21" s="21" t="s">
        <v>554</v>
      </c>
    </row>
    <row r="22" spans="2:9" x14ac:dyDescent="0.25">
      <c r="B22" s="69" t="s">
        <v>433</v>
      </c>
      <c r="C22" s="72" t="s">
        <v>304</v>
      </c>
      <c r="D22" s="72" t="s">
        <v>434</v>
      </c>
      <c r="E22" s="73" t="s">
        <v>282</v>
      </c>
      <c r="F22" s="82">
        <v>41750</v>
      </c>
      <c r="G22" s="10"/>
    </row>
    <row r="23" spans="2:9" s="19" customFormat="1" ht="13" x14ac:dyDescent="0.3">
      <c r="B23" s="2"/>
      <c r="C23" s="3"/>
      <c r="D23" s="3"/>
      <c r="E23" s="3"/>
      <c r="F23" s="3" t="s">
        <v>5</v>
      </c>
      <c r="G23" s="4"/>
      <c r="I23" s="16" t="s">
        <v>555</v>
      </c>
    </row>
    <row r="24" spans="2:9" x14ac:dyDescent="0.25">
      <c r="B24" s="14" t="s">
        <v>998</v>
      </c>
      <c r="C24" s="6" t="s">
        <v>487</v>
      </c>
      <c r="D24" s="37" t="s">
        <v>999</v>
      </c>
      <c r="E24" s="11">
        <v>1</v>
      </c>
      <c r="F24" s="37" t="s">
        <v>47</v>
      </c>
      <c r="G24" s="44"/>
      <c r="I24" s="21" t="s">
        <v>556</v>
      </c>
    </row>
    <row r="25" spans="2:9" x14ac:dyDescent="0.25">
      <c r="B25" s="14" t="s">
        <v>727</v>
      </c>
      <c r="C25" s="37" t="s">
        <v>120</v>
      </c>
      <c r="D25" s="37" t="s">
        <v>1080</v>
      </c>
      <c r="E25" s="11">
        <v>1</v>
      </c>
      <c r="F25" s="37" t="s">
        <v>47</v>
      </c>
      <c r="G25" s="44"/>
      <c r="I25" s="21" t="s">
        <v>557</v>
      </c>
    </row>
    <row r="26" spans="2:9" x14ac:dyDescent="0.25">
      <c r="B26" s="14" t="s">
        <v>565</v>
      </c>
      <c r="C26" s="37" t="s">
        <v>708</v>
      </c>
      <c r="D26" s="37" t="s">
        <v>806</v>
      </c>
      <c r="E26" s="11">
        <v>1</v>
      </c>
      <c r="F26" s="37" t="s">
        <v>47</v>
      </c>
      <c r="G26" s="7"/>
      <c r="I26" s="21" t="s">
        <v>1075</v>
      </c>
    </row>
    <row r="27" spans="2:9" ht="13" x14ac:dyDescent="0.3">
      <c r="B27" s="14" t="s">
        <v>564</v>
      </c>
      <c r="C27" s="37" t="s">
        <v>709</v>
      </c>
      <c r="D27" s="37" t="s">
        <v>1137</v>
      </c>
      <c r="E27" s="40">
        <v>1</v>
      </c>
      <c r="F27" s="37" t="s">
        <v>47</v>
      </c>
      <c r="G27" s="112"/>
      <c r="I27" s="21" t="s">
        <v>1076</v>
      </c>
    </row>
    <row r="28" spans="2:9" ht="13" x14ac:dyDescent="0.3">
      <c r="B28" s="128" t="s">
        <v>711</v>
      </c>
      <c r="C28" s="129" t="s">
        <v>712</v>
      </c>
      <c r="D28" s="129" t="s">
        <v>1139</v>
      </c>
      <c r="E28" s="130">
        <v>1</v>
      </c>
      <c r="F28" s="129" t="s">
        <v>47</v>
      </c>
      <c r="G28" s="112"/>
      <c r="H28" s="19"/>
      <c r="I28" s="21" t="s">
        <v>1077</v>
      </c>
    </row>
    <row r="29" spans="2:9" x14ac:dyDescent="0.25">
      <c r="B29" s="36" t="s">
        <v>739</v>
      </c>
      <c r="C29" s="37" t="s">
        <v>740</v>
      </c>
      <c r="D29" s="6"/>
      <c r="E29" s="11"/>
      <c r="F29" s="37" t="s">
        <v>47</v>
      </c>
      <c r="G29" s="7"/>
      <c r="I29" s="21" t="s">
        <v>1078</v>
      </c>
    </row>
    <row r="30" spans="2:9" x14ac:dyDescent="0.25">
      <c r="B30" s="36" t="s">
        <v>707</v>
      </c>
      <c r="C30" s="37" t="s">
        <v>239</v>
      </c>
      <c r="D30" s="6" t="s">
        <v>500</v>
      </c>
      <c r="E30" s="11" t="s">
        <v>499</v>
      </c>
      <c r="F30" s="37" t="s">
        <v>105</v>
      </c>
      <c r="G30" s="7"/>
    </row>
    <row r="31" spans="2:9" x14ac:dyDescent="0.25">
      <c r="B31" s="36" t="s">
        <v>736</v>
      </c>
      <c r="C31" s="37" t="s">
        <v>737</v>
      </c>
      <c r="D31" s="37" t="s">
        <v>738</v>
      </c>
      <c r="E31" s="40"/>
      <c r="F31" s="37" t="s">
        <v>47</v>
      </c>
      <c r="G31" s="7"/>
    </row>
    <row r="32" spans="2:9" ht="13" x14ac:dyDescent="0.3">
      <c r="B32" s="14" t="s">
        <v>562</v>
      </c>
      <c r="C32" s="37" t="s">
        <v>518</v>
      </c>
      <c r="D32" s="37" t="s">
        <v>457</v>
      </c>
      <c r="E32" s="40"/>
      <c r="F32" s="37" t="s">
        <v>105</v>
      </c>
      <c r="G32" s="112"/>
      <c r="I32" s="16" t="s">
        <v>558</v>
      </c>
    </row>
    <row r="33" spans="2:9" x14ac:dyDescent="0.25">
      <c r="B33" s="36" t="s">
        <v>563</v>
      </c>
      <c r="C33" s="37" t="s">
        <v>518</v>
      </c>
      <c r="D33" s="37" t="s">
        <v>1265</v>
      </c>
      <c r="E33" s="11"/>
      <c r="F33" s="37" t="s">
        <v>105</v>
      </c>
      <c r="G33" s="7"/>
      <c r="I33" s="21" t="s">
        <v>559</v>
      </c>
    </row>
    <row r="34" spans="2:9" x14ac:dyDescent="0.25">
      <c r="B34" s="36" t="s">
        <v>906</v>
      </c>
      <c r="C34" s="37" t="s">
        <v>907</v>
      </c>
      <c r="D34" s="6"/>
      <c r="E34" s="11"/>
      <c r="F34" s="37" t="s">
        <v>105</v>
      </c>
      <c r="G34" s="7"/>
    </row>
    <row r="35" spans="2:9" x14ac:dyDescent="0.25">
      <c r="B35" s="36" t="s">
        <v>710</v>
      </c>
      <c r="C35" s="37" t="s">
        <v>518</v>
      </c>
      <c r="D35" s="37" t="s">
        <v>1262</v>
      </c>
      <c r="E35" s="11"/>
      <c r="F35" s="37" t="s">
        <v>105</v>
      </c>
      <c r="G35" s="7"/>
    </row>
    <row r="36" spans="2:9" x14ac:dyDescent="0.25">
      <c r="B36" s="14" t="s">
        <v>713</v>
      </c>
      <c r="C36" s="37" t="s">
        <v>714</v>
      </c>
      <c r="D36" s="37" t="s">
        <v>1049</v>
      </c>
      <c r="E36" s="11"/>
      <c r="F36" s="37" t="s">
        <v>105</v>
      </c>
      <c r="G36" s="7"/>
      <c r="I36" s="21" t="s">
        <v>543</v>
      </c>
    </row>
    <row r="37" spans="2:9" x14ac:dyDescent="0.25">
      <c r="B37" s="36" t="s">
        <v>715</v>
      </c>
      <c r="C37" s="37" t="s">
        <v>714</v>
      </c>
      <c r="D37" s="6"/>
      <c r="E37" s="11"/>
      <c r="F37" s="37" t="s">
        <v>105</v>
      </c>
      <c r="G37" s="7"/>
      <c r="I37" s="21" t="s">
        <v>1102</v>
      </c>
    </row>
    <row r="38" spans="2:9" x14ac:dyDescent="0.25">
      <c r="B38" s="36"/>
      <c r="C38" s="37" t="s">
        <v>719</v>
      </c>
      <c r="D38" s="37" t="s">
        <v>718</v>
      </c>
      <c r="E38" s="11"/>
      <c r="F38" s="37" t="s">
        <v>105</v>
      </c>
      <c r="G38" s="7"/>
      <c r="I38" s="21" t="s">
        <v>1103</v>
      </c>
    </row>
    <row r="39" spans="2:9" x14ac:dyDescent="0.25">
      <c r="B39" s="36" t="s">
        <v>716</v>
      </c>
      <c r="C39" s="37" t="s">
        <v>717</v>
      </c>
      <c r="D39" s="6"/>
      <c r="E39" s="11"/>
      <c r="F39" s="37" t="s">
        <v>105</v>
      </c>
      <c r="G39" s="7"/>
    </row>
    <row r="40" spans="2:9" x14ac:dyDescent="0.25">
      <c r="B40" s="36" t="s">
        <v>1088</v>
      </c>
      <c r="C40" s="37" t="s">
        <v>445</v>
      </c>
      <c r="D40" s="6"/>
      <c r="E40" s="11"/>
      <c r="F40" s="37" t="s">
        <v>105</v>
      </c>
      <c r="G40" s="7"/>
    </row>
    <row r="41" spans="2:9" x14ac:dyDescent="0.25">
      <c r="B41" s="36" t="s">
        <v>1092</v>
      </c>
      <c r="C41" s="37" t="s">
        <v>194</v>
      </c>
      <c r="D41" s="37" t="s">
        <v>1093</v>
      </c>
      <c r="E41" s="11"/>
      <c r="F41" s="37" t="s">
        <v>105</v>
      </c>
      <c r="G41" s="7"/>
    </row>
    <row r="42" spans="2:9" x14ac:dyDescent="0.25">
      <c r="B42" s="36" t="s">
        <v>721</v>
      </c>
      <c r="C42" s="37" t="s">
        <v>722</v>
      </c>
      <c r="D42" s="6"/>
      <c r="E42" s="11"/>
      <c r="F42" s="37" t="s">
        <v>105</v>
      </c>
      <c r="G42" s="7"/>
    </row>
    <row r="43" spans="2:9" x14ac:dyDescent="0.25">
      <c r="B43" s="36"/>
      <c r="C43" s="37" t="s">
        <v>445</v>
      </c>
      <c r="D43" s="37" t="s">
        <v>723</v>
      </c>
      <c r="E43" s="11"/>
      <c r="F43" s="37" t="s">
        <v>105</v>
      </c>
      <c r="G43" s="7"/>
    </row>
    <row r="44" spans="2:9" x14ac:dyDescent="0.25">
      <c r="B44" s="36" t="s">
        <v>724</v>
      </c>
      <c r="C44" s="37" t="s">
        <v>239</v>
      </c>
      <c r="D44" s="37"/>
      <c r="E44" s="11"/>
      <c r="F44" s="37" t="s">
        <v>105</v>
      </c>
      <c r="G44" s="7"/>
    </row>
    <row r="45" spans="2:9" x14ac:dyDescent="0.25">
      <c r="B45" s="36" t="s">
        <v>979</v>
      </c>
      <c r="C45" s="37" t="s">
        <v>120</v>
      </c>
      <c r="D45" s="37"/>
      <c r="E45" s="40"/>
      <c r="F45" s="37" t="s">
        <v>105</v>
      </c>
      <c r="G45" s="7"/>
    </row>
    <row r="46" spans="2:9" x14ac:dyDescent="0.25">
      <c r="B46" s="36" t="s">
        <v>726</v>
      </c>
      <c r="C46" s="37" t="s">
        <v>467</v>
      </c>
      <c r="D46" s="37"/>
      <c r="E46" s="11"/>
      <c r="F46" s="37" t="s">
        <v>105</v>
      </c>
      <c r="G46" s="7"/>
    </row>
    <row r="47" spans="2:9" x14ac:dyDescent="0.25">
      <c r="B47" s="36" t="s">
        <v>733</v>
      </c>
      <c r="C47" s="37" t="s">
        <v>120</v>
      </c>
      <c r="D47" s="37" t="s">
        <v>733</v>
      </c>
      <c r="E47" s="11"/>
      <c r="F47" s="37" t="s">
        <v>105</v>
      </c>
      <c r="G47" s="7"/>
    </row>
    <row r="48" spans="2:9" x14ac:dyDescent="0.25">
      <c r="B48" s="36"/>
      <c r="C48" s="37" t="s">
        <v>194</v>
      </c>
      <c r="D48" s="37" t="s">
        <v>943</v>
      </c>
      <c r="E48" s="11"/>
      <c r="F48" s="37" t="s">
        <v>119</v>
      </c>
      <c r="G48" s="7"/>
    </row>
    <row r="49" spans="2:7" x14ac:dyDescent="0.25">
      <c r="B49" s="36" t="s">
        <v>1068</v>
      </c>
      <c r="C49" s="37" t="s">
        <v>1067</v>
      </c>
      <c r="D49" s="37" t="s">
        <v>1066</v>
      </c>
      <c r="E49" s="11"/>
      <c r="F49" s="37" t="s">
        <v>1065</v>
      </c>
      <c r="G49" s="7"/>
    </row>
    <row r="50" spans="2:7" x14ac:dyDescent="0.25">
      <c r="B50" s="113" t="s">
        <v>1070</v>
      </c>
      <c r="C50" s="37" t="s">
        <v>452</v>
      </c>
      <c r="D50" s="37" t="s">
        <v>1071</v>
      </c>
      <c r="E50" s="11"/>
      <c r="F50" s="37" t="s">
        <v>1065</v>
      </c>
      <c r="G50" s="7"/>
    </row>
    <row r="51" spans="2:7" x14ac:dyDescent="0.25">
      <c r="B51" s="36" t="s">
        <v>734</v>
      </c>
      <c r="C51" s="37" t="s">
        <v>194</v>
      </c>
      <c r="D51" s="37"/>
      <c r="E51" s="11"/>
      <c r="F51" s="37" t="s">
        <v>105</v>
      </c>
      <c r="G51" s="7"/>
    </row>
    <row r="52" spans="2:7" x14ac:dyDescent="0.25">
      <c r="B52" s="36" t="s">
        <v>1091</v>
      </c>
      <c r="C52" s="37" t="s">
        <v>194</v>
      </c>
      <c r="D52" s="37" t="s">
        <v>735</v>
      </c>
      <c r="E52" s="11"/>
      <c r="F52" s="37" t="s">
        <v>105</v>
      </c>
      <c r="G52" s="7"/>
    </row>
    <row r="53" spans="2:7" x14ac:dyDescent="0.25">
      <c r="B53" s="36" t="s">
        <v>1096</v>
      </c>
      <c r="C53" s="37" t="s">
        <v>451</v>
      </c>
      <c r="D53" s="37" t="s">
        <v>1097</v>
      </c>
      <c r="E53" s="11"/>
      <c r="F53" s="37" t="s">
        <v>119</v>
      </c>
      <c r="G53" s="7"/>
    </row>
    <row r="54" spans="2:7" x14ac:dyDescent="0.25">
      <c r="B54" s="36" t="s">
        <v>1094</v>
      </c>
      <c r="C54" s="37" t="s">
        <v>759</v>
      </c>
      <c r="D54" s="37" t="s">
        <v>1095</v>
      </c>
      <c r="E54" s="11"/>
      <c r="F54" s="37" t="s">
        <v>119</v>
      </c>
      <c r="G54" s="7"/>
    </row>
    <row r="55" spans="2:7" x14ac:dyDescent="0.25">
      <c r="B55" s="36"/>
      <c r="C55" s="37" t="s">
        <v>1099</v>
      </c>
      <c r="D55" s="37" t="s">
        <v>1098</v>
      </c>
      <c r="E55" s="11"/>
      <c r="F55" s="37" t="s">
        <v>119</v>
      </c>
      <c r="G55" s="7"/>
    </row>
    <row r="56" spans="2:7" x14ac:dyDescent="0.25">
      <c r="B56" s="113" t="s">
        <v>1104</v>
      </c>
      <c r="C56" s="37" t="s">
        <v>518</v>
      </c>
      <c r="D56" s="37" t="s">
        <v>1105</v>
      </c>
      <c r="E56" s="11"/>
      <c r="F56" s="37" t="s">
        <v>119</v>
      </c>
      <c r="G56" s="44" t="s">
        <v>1165</v>
      </c>
    </row>
    <row r="57" spans="2:7" x14ac:dyDescent="0.25">
      <c r="B57" s="113" t="s">
        <v>1164</v>
      </c>
      <c r="C57" s="37" t="s">
        <v>518</v>
      </c>
      <c r="D57" s="37" t="s">
        <v>1105</v>
      </c>
      <c r="E57" s="11"/>
      <c r="F57" s="37" t="s">
        <v>119</v>
      </c>
      <c r="G57" s="7"/>
    </row>
    <row r="58" spans="2:7" x14ac:dyDescent="0.25">
      <c r="B58" s="113"/>
      <c r="C58" s="37" t="s">
        <v>518</v>
      </c>
      <c r="D58" s="37" t="s">
        <v>1106</v>
      </c>
      <c r="E58" s="11"/>
      <c r="F58" s="37" t="s">
        <v>119</v>
      </c>
      <c r="G58" s="7"/>
    </row>
    <row r="59" spans="2:7" x14ac:dyDescent="0.25">
      <c r="B59" s="113"/>
      <c r="C59" s="37" t="s">
        <v>451</v>
      </c>
      <c r="D59" s="37" t="s">
        <v>1111</v>
      </c>
      <c r="E59" s="11"/>
      <c r="F59" s="37" t="s">
        <v>119</v>
      </c>
      <c r="G59" s="7"/>
    </row>
    <row r="60" spans="2:7" x14ac:dyDescent="0.25">
      <c r="B60" s="113"/>
      <c r="C60" s="37" t="s">
        <v>451</v>
      </c>
      <c r="D60" s="37" t="s">
        <v>1112</v>
      </c>
      <c r="E60" s="11"/>
      <c r="F60" s="37" t="s">
        <v>119</v>
      </c>
      <c r="G60" s="7"/>
    </row>
    <row r="61" spans="2:7" x14ac:dyDescent="0.25">
      <c r="B61" s="113"/>
      <c r="C61" s="37" t="s">
        <v>451</v>
      </c>
      <c r="D61" s="37" t="s">
        <v>1112</v>
      </c>
      <c r="E61" s="11"/>
      <c r="F61" s="37" t="s">
        <v>119</v>
      </c>
      <c r="G61" s="7"/>
    </row>
    <row r="62" spans="2:7" x14ac:dyDescent="0.25">
      <c r="B62" s="113"/>
      <c r="C62" s="37" t="s">
        <v>1108</v>
      </c>
      <c r="D62" s="37" t="s">
        <v>1109</v>
      </c>
      <c r="E62" s="11"/>
      <c r="F62" s="37" t="s">
        <v>119</v>
      </c>
      <c r="G62" s="7"/>
    </row>
    <row r="63" spans="2:7" x14ac:dyDescent="0.25">
      <c r="B63" s="113"/>
      <c r="C63" s="37" t="s">
        <v>518</v>
      </c>
      <c r="D63" s="37" t="s">
        <v>1110</v>
      </c>
      <c r="E63" s="11"/>
      <c r="F63" s="37" t="s">
        <v>119</v>
      </c>
      <c r="G63" s="7"/>
    </row>
    <row r="64" spans="2:7" x14ac:dyDescent="0.25">
      <c r="B64" s="113"/>
      <c r="C64" s="37" t="s">
        <v>1113</v>
      </c>
      <c r="D64" s="37"/>
      <c r="E64" s="11"/>
      <c r="F64" s="37" t="s">
        <v>119</v>
      </c>
      <c r="G64" s="7"/>
    </row>
    <row r="65" spans="2:9" x14ac:dyDescent="0.25">
      <c r="B65" s="113"/>
      <c r="C65" s="37" t="s">
        <v>116</v>
      </c>
      <c r="D65" s="37" t="s">
        <v>1117</v>
      </c>
      <c r="E65" s="11"/>
      <c r="F65" s="37" t="s">
        <v>119</v>
      </c>
      <c r="G65" s="7"/>
    </row>
    <row r="66" spans="2:9" x14ac:dyDescent="0.25">
      <c r="B66" s="113"/>
      <c r="C66" s="37" t="s">
        <v>120</v>
      </c>
      <c r="D66" s="37" t="s">
        <v>1120</v>
      </c>
      <c r="E66" s="11"/>
      <c r="F66" s="37" t="s">
        <v>119</v>
      </c>
      <c r="G66" s="7"/>
    </row>
    <row r="67" spans="2:9" x14ac:dyDescent="0.25">
      <c r="B67" s="113"/>
      <c r="C67" s="37" t="s">
        <v>451</v>
      </c>
      <c r="D67" s="37" t="s">
        <v>1121</v>
      </c>
      <c r="E67" s="11"/>
      <c r="F67" s="37" t="s">
        <v>119</v>
      </c>
      <c r="G67" s="7"/>
    </row>
    <row r="68" spans="2:9" x14ac:dyDescent="0.25">
      <c r="B68" s="113"/>
      <c r="C68" s="37" t="s">
        <v>1114</v>
      </c>
      <c r="D68" s="37" t="s">
        <v>1122</v>
      </c>
      <c r="E68" s="11"/>
      <c r="F68" s="37" t="s">
        <v>119</v>
      </c>
      <c r="G68" s="7"/>
    </row>
    <row r="69" spans="2:9" x14ac:dyDescent="0.25">
      <c r="B69" s="113"/>
      <c r="C69" s="37" t="s">
        <v>1099</v>
      </c>
      <c r="D69" s="37" t="s">
        <v>1123</v>
      </c>
      <c r="E69" s="11"/>
      <c r="F69" s="37" t="s">
        <v>119</v>
      </c>
      <c r="G69" s="7"/>
    </row>
    <row r="70" spans="2:9" x14ac:dyDescent="0.25">
      <c r="B70" s="113"/>
      <c r="C70" s="37" t="s">
        <v>1113</v>
      </c>
      <c r="D70" s="37" t="s">
        <v>1124</v>
      </c>
      <c r="E70" s="11"/>
      <c r="F70" s="37" t="s">
        <v>119</v>
      </c>
      <c r="G70" s="7"/>
    </row>
    <row r="71" spans="2:9" x14ac:dyDescent="0.25">
      <c r="B71" s="113"/>
      <c r="C71" s="37" t="s">
        <v>1060</v>
      </c>
      <c r="D71" s="37" t="s">
        <v>1125</v>
      </c>
      <c r="E71" s="11"/>
      <c r="F71" s="37" t="s">
        <v>119</v>
      </c>
      <c r="G71" s="7"/>
    </row>
    <row r="72" spans="2:9" x14ac:dyDescent="0.25">
      <c r="B72" s="113" t="s">
        <v>1118</v>
      </c>
      <c r="C72" s="37" t="s">
        <v>1116</v>
      </c>
      <c r="D72" s="37" t="s">
        <v>1119</v>
      </c>
      <c r="E72" s="11"/>
      <c r="F72" s="37" t="s">
        <v>119</v>
      </c>
      <c r="G72" s="7"/>
    </row>
    <row r="73" spans="2:9" x14ac:dyDescent="0.25">
      <c r="B73" s="113"/>
      <c r="C73" s="37" t="s">
        <v>518</v>
      </c>
      <c r="D73" s="37" t="s">
        <v>1115</v>
      </c>
      <c r="E73" s="11"/>
      <c r="F73" s="37" t="s">
        <v>119</v>
      </c>
      <c r="G73" s="7"/>
    </row>
    <row r="74" spans="2:9" x14ac:dyDescent="0.25">
      <c r="B74" s="113"/>
      <c r="C74" s="37" t="s">
        <v>1114</v>
      </c>
      <c r="D74" s="37"/>
      <c r="E74" s="11"/>
      <c r="F74" s="37" t="s">
        <v>119</v>
      </c>
      <c r="G74" s="7"/>
    </row>
    <row r="75" spans="2:9" x14ac:dyDescent="0.25">
      <c r="B75" s="36" t="s">
        <v>1100</v>
      </c>
      <c r="C75" s="37" t="s">
        <v>518</v>
      </c>
      <c r="D75" s="37" t="s">
        <v>1101</v>
      </c>
      <c r="E75" s="11"/>
      <c r="F75" s="37" t="s">
        <v>119</v>
      </c>
      <c r="G75" s="7"/>
    </row>
    <row r="76" spans="2:9" x14ac:dyDescent="0.25">
      <c r="B76" s="36" t="s">
        <v>561</v>
      </c>
      <c r="C76" s="37" t="s">
        <v>728</v>
      </c>
      <c r="D76" s="37" t="s">
        <v>730</v>
      </c>
      <c r="E76" s="40"/>
      <c r="F76" s="37" t="s">
        <v>105</v>
      </c>
      <c r="G76" s="7"/>
      <c r="I76" s="21"/>
    </row>
    <row r="77" spans="2:9" x14ac:dyDescent="0.25">
      <c r="B77" s="36" t="s">
        <v>729</v>
      </c>
      <c r="C77" s="37" t="s">
        <v>732</v>
      </c>
      <c r="D77" s="37" t="s">
        <v>731</v>
      </c>
      <c r="E77" s="40"/>
      <c r="F77" s="37" t="s">
        <v>105</v>
      </c>
      <c r="G77" s="7"/>
      <c r="I77" s="21"/>
    </row>
    <row r="78" spans="2:9" x14ac:dyDescent="0.25">
      <c r="B78" s="69" t="s">
        <v>526</v>
      </c>
      <c r="C78" s="72" t="s">
        <v>527</v>
      </c>
      <c r="D78" s="72"/>
      <c r="E78" s="73"/>
      <c r="F78" s="72" t="s">
        <v>105</v>
      </c>
      <c r="G78" s="10"/>
    </row>
    <row r="80" spans="2:9" ht="13" x14ac:dyDescent="0.3">
      <c r="E80" s="33" t="s">
        <v>1001</v>
      </c>
    </row>
    <row r="81" spans="5:5" ht="13" x14ac:dyDescent="0.3">
      <c r="E81" s="33" t="s">
        <v>1002</v>
      </c>
    </row>
    <row r="82" spans="5:5" ht="13" x14ac:dyDescent="0.3">
      <c r="E82" s="33" t="s">
        <v>1003</v>
      </c>
    </row>
    <row r="83" spans="5:5" ht="13" x14ac:dyDescent="0.3">
      <c r="E83" s="33" t="s">
        <v>1008</v>
      </c>
    </row>
    <row r="84" spans="5:5" ht="13" x14ac:dyDescent="0.3">
      <c r="E84" s="33" t="s">
        <v>1010</v>
      </c>
    </row>
    <row r="85" spans="5:5" ht="13" x14ac:dyDescent="0.3">
      <c r="E85" s="33" t="s">
        <v>1011</v>
      </c>
    </row>
    <row r="86" spans="5:5" ht="13" x14ac:dyDescent="0.3">
      <c r="E86" s="33" t="s">
        <v>1028</v>
      </c>
    </row>
    <row r="87" spans="5:5" ht="13" x14ac:dyDescent="0.3">
      <c r="E87" s="33" t="s">
        <v>1029</v>
      </c>
    </row>
    <row r="88" spans="5:5" ht="13" x14ac:dyDescent="0.3">
      <c r="E88" s="33" t="s">
        <v>1034</v>
      </c>
    </row>
    <row r="89" spans="5:5" ht="13" x14ac:dyDescent="0.3">
      <c r="E89" s="33" t="s">
        <v>1035</v>
      </c>
    </row>
    <row r="90" spans="5:5" ht="13" x14ac:dyDescent="0.3">
      <c r="E90" s="33" t="s">
        <v>1036</v>
      </c>
    </row>
    <row r="91" spans="5:5" ht="13" x14ac:dyDescent="0.3">
      <c r="E91" s="33" t="s">
        <v>1038</v>
      </c>
    </row>
    <row r="92" spans="5:5" ht="13" x14ac:dyDescent="0.3">
      <c r="E92" s="33" t="s">
        <v>1043</v>
      </c>
    </row>
    <row r="93" spans="5:5" ht="13" x14ac:dyDescent="0.3">
      <c r="E93" s="33" t="s">
        <v>1044</v>
      </c>
    </row>
    <row r="94" spans="5:5" ht="13" x14ac:dyDescent="0.3">
      <c r="E94" s="33" t="s">
        <v>1062</v>
      </c>
    </row>
    <row r="95" spans="5:5" ht="13" x14ac:dyDescent="0.3">
      <c r="E95" s="33" t="s">
        <v>1063</v>
      </c>
    </row>
    <row r="96" spans="5:5" ht="13" x14ac:dyDescent="0.3">
      <c r="E96" s="33" t="s">
        <v>1064</v>
      </c>
    </row>
    <row r="97" spans="5:6" ht="13" x14ac:dyDescent="0.3">
      <c r="E97" s="33" t="s">
        <v>1069</v>
      </c>
    </row>
    <row r="98" spans="5:6" ht="13" x14ac:dyDescent="0.3">
      <c r="E98" s="33" t="s">
        <v>1074</v>
      </c>
    </row>
    <row r="99" spans="5:6" ht="13" x14ac:dyDescent="0.3">
      <c r="E99" s="33" t="s">
        <v>890</v>
      </c>
    </row>
    <row r="100" spans="5:6" ht="13" x14ac:dyDescent="0.3">
      <c r="E100" s="33" t="s">
        <v>888</v>
      </c>
    </row>
    <row r="101" spans="5:6" ht="13" x14ac:dyDescent="0.3">
      <c r="E101" s="33" t="s">
        <v>877</v>
      </c>
      <c r="F101" s="33"/>
    </row>
    <row r="102" spans="5:6" ht="13" x14ac:dyDescent="0.3">
      <c r="E102" s="33" t="s">
        <v>878</v>
      </c>
      <c r="F102" s="34"/>
    </row>
    <row r="103" spans="5:6" ht="13" x14ac:dyDescent="0.3">
      <c r="E103" s="33" t="s">
        <v>886</v>
      </c>
      <c r="F103" s="34"/>
    </row>
    <row r="104" spans="5:6" ht="13" x14ac:dyDescent="0.3">
      <c r="E104" s="33" t="s">
        <v>887</v>
      </c>
      <c r="F104" s="34"/>
    </row>
    <row r="105" spans="5:6" ht="13" x14ac:dyDescent="0.3">
      <c r="E105" s="33" t="s">
        <v>889</v>
      </c>
      <c r="F105" s="34"/>
    </row>
    <row r="106" spans="5:6" ht="13" x14ac:dyDescent="0.3">
      <c r="E106" s="33" t="s">
        <v>893</v>
      </c>
      <c r="F106" s="34"/>
    </row>
    <row r="107" spans="5:6" ht="13" x14ac:dyDescent="0.3">
      <c r="E107" s="33" t="s">
        <v>894</v>
      </c>
      <c r="F107" s="34"/>
    </row>
    <row r="108" spans="5:6" ht="13" x14ac:dyDescent="0.3">
      <c r="E108" s="33" t="s">
        <v>897</v>
      </c>
      <c r="F108" s="34"/>
    </row>
    <row r="109" spans="5:6" ht="13" x14ac:dyDescent="0.3">
      <c r="E109" s="33" t="s">
        <v>898</v>
      </c>
      <c r="F109" s="34"/>
    </row>
    <row r="110" spans="5:6" ht="13" x14ac:dyDescent="0.3">
      <c r="E110" s="33" t="s">
        <v>921</v>
      </c>
      <c r="F110" s="34"/>
    </row>
    <row r="111" spans="5:6" ht="13" x14ac:dyDescent="0.3">
      <c r="E111" s="33" t="s">
        <v>920</v>
      </c>
      <c r="F111" s="34"/>
    </row>
    <row r="112" spans="5:6" ht="13" x14ac:dyDescent="0.3">
      <c r="E112" s="33" t="s">
        <v>934</v>
      </c>
      <c r="F112" s="34"/>
    </row>
    <row r="113" spans="2:6" ht="13" x14ac:dyDescent="0.3">
      <c r="E113" s="33" t="s">
        <v>922</v>
      </c>
      <c r="F113" s="34"/>
    </row>
    <row r="114" spans="2:6" ht="13" x14ac:dyDescent="0.3">
      <c r="E114" s="33" t="s">
        <v>939</v>
      </c>
      <c r="F114" s="34"/>
    </row>
    <row r="115" spans="2:6" ht="13" x14ac:dyDescent="0.3">
      <c r="E115" s="33" t="s">
        <v>940</v>
      </c>
      <c r="F115" s="34"/>
    </row>
    <row r="116" spans="2:6" ht="13" x14ac:dyDescent="0.3">
      <c r="E116" s="33" t="s">
        <v>914</v>
      </c>
      <c r="F116" s="34"/>
    </row>
    <row r="117" spans="2:6" ht="13" x14ac:dyDescent="0.3">
      <c r="E117" s="33" t="s">
        <v>915</v>
      </c>
      <c r="F117" s="34"/>
    </row>
    <row r="118" spans="2:6" ht="13" x14ac:dyDescent="0.3">
      <c r="E118" s="33" t="s">
        <v>909</v>
      </c>
      <c r="F118" s="34"/>
    </row>
    <row r="119" spans="2:6" ht="13" x14ac:dyDescent="0.3">
      <c r="E119" s="33" t="s">
        <v>908</v>
      </c>
      <c r="F119" s="34"/>
    </row>
    <row r="120" spans="2:6" ht="13" x14ac:dyDescent="0.3">
      <c r="E120" s="33" t="s">
        <v>905</v>
      </c>
      <c r="F120" s="34"/>
    </row>
    <row r="121" spans="2:6" ht="13" x14ac:dyDescent="0.3">
      <c r="B121" s="74"/>
      <c r="C121" s="74"/>
      <c r="E121" s="33" t="s">
        <v>741</v>
      </c>
      <c r="F121" s="33"/>
    </row>
    <row r="122" spans="2:6" ht="13" x14ac:dyDescent="0.3">
      <c r="B122" s="74"/>
      <c r="C122" s="74"/>
      <c r="E122" s="33" t="s">
        <v>1000</v>
      </c>
      <c r="F122" s="33"/>
    </row>
    <row r="123" spans="2:6" ht="13" x14ac:dyDescent="0.3">
      <c r="B123" s="75"/>
      <c r="E123" s="21" t="s">
        <v>542</v>
      </c>
      <c r="F123" s="33"/>
    </row>
    <row r="124" spans="2:6" x14ac:dyDescent="0.25">
      <c r="B124" s="75"/>
      <c r="C124" s="75"/>
      <c r="E124" s="21" t="s">
        <v>529</v>
      </c>
    </row>
    <row r="125" spans="2:6" x14ac:dyDescent="0.25">
      <c r="B125" s="75"/>
      <c r="C125" s="75"/>
      <c r="E125" s="21" t="s">
        <v>503</v>
      </c>
    </row>
    <row r="126" spans="2:6" x14ac:dyDescent="0.25">
      <c r="B126" s="75"/>
      <c r="C126" s="75"/>
    </row>
    <row r="127" spans="2:6" x14ac:dyDescent="0.25">
      <c r="B127" s="75"/>
      <c r="C127" s="75"/>
    </row>
    <row r="128" spans="2:6" x14ac:dyDescent="0.25">
      <c r="B128" s="76"/>
      <c r="C128" s="75"/>
    </row>
    <row r="129" spans="2:3" x14ac:dyDescent="0.25">
      <c r="B129" s="76"/>
      <c r="C129" s="75"/>
    </row>
    <row r="130" spans="2:3" x14ac:dyDescent="0.25">
      <c r="B130" s="76"/>
      <c r="C130" s="75"/>
    </row>
    <row r="131" spans="2:3" x14ac:dyDescent="0.25">
      <c r="B131" s="75"/>
      <c r="C131" s="75"/>
    </row>
    <row r="132" spans="2:3" x14ac:dyDescent="0.25">
      <c r="B132" s="75"/>
      <c r="C132" s="75"/>
    </row>
    <row r="133" spans="2:3" x14ac:dyDescent="0.25">
      <c r="B133" s="76"/>
      <c r="C133" s="75"/>
    </row>
    <row r="134" spans="2:3" x14ac:dyDescent="0.25">
      <c r="B134" s="75"/>
    </row>
    <row r="135" spans="2:3" x14ac:dyDescent="0.25">
      <c r="B135" s="75"/>
    </row>
    <row r="137" spans="2:3" x14ac:dyDescent="0.25">
      <c r="B137" s="75"/>
    </row>
    <row r="138" spans="2:3" x14ac:dyDescent="0.25">
      <c r="C138" s="75"/>
    </row>
    <row r="140" spans="2:3" x14ac:dyDescent="0.25">
      <c r="B140" s="75"/>
    </row>
    <row r="142" spans="2:3" x14ac:dyDescent="0.25">
      <c r="C142" s="75"/>
    </row>
  </sheetData>
  <phoneticPr fontId="2" type="noConversion"/>
  <hyperlinks>
    <hyperlink ref="B11" location="Jayprica!A1" display="Jaypirca (fka LOXO-305) (pirtobrutinib)" xr:uid="{34495B2A-0C75-D74E-8FFE-80BE4E5ADE9F}"/>
    <hyperlink ref="B5" location="'Mounjaro-Zepbound'!A1" display="Mounjaro (tirzepatide)" xr:uid="{D8F7C7AC-8C9E-5248-BDA1-972E012B334B}"/>
    <hyperlink ref="B4" location="'Mounjaro-Zepbound'!A1" display="Zepbound (tirzepatide)" xr:uid="{32D8C82D-7CBF-574E-BAC1-8B4A32193D20}"/>
    <hyperlink ref="B12" location="Verzenio!A1" display="Verzenio (abemaciclib)" xr:uid="{3FBF301C-5A80-5B46-AF81-2FEE5FDAAEE9}"/>
    <hyperlink ref="B7" location="Jardiance!A1" display="Jardiance (empagliflozin)" xr:uid="{6E4A9918-79D5-E94C-9D89-D81E694C22D5}"/>
    <hyperlink ref="B20" location="Kisunla!A1" display="Kisunla (donanemab)" xr:uid="{1C087030-4B2E-4B04-9F79-A83F28E966B6}"/>
    <hyperlink ref="B16" location="Ebglyss!A1" display="Ebglyss (lebrikizumab)" xr:uid="{7E8F54A5-F622-456D-90E6-A97044F3948C}"/>
    <hyperlink ref="B19" location="Omvoh!A1" display="Omvoh (mirikizumab)" xr:uid="{B72D4D04-336D-4342-A432-ACC7180DFC95}"/>
    <hyperlink ref="B26" location="'insulin efsitora'!A1" display="insulin efsitora" xr:uid="{CA297F40-939C-47CA-8517-266665961FD0}"/>
    <hyperlink ref="B24" location="imlunestrant!A1" display="imlunestrant" xr:uid="{64E91DA5-1FEA-4AE6-80C1-97BC0711D250}"/>
    <hyperlink ref="B36" location="muvalaplin!A1" display="muvalaplin" xr:uid="{89D5ECF4-4C6E-4D57-AC6B-50410E9DBDEE}"/>
    <hyperlink ref="B25" location="remternetug!A1" display="remternetug" xr:uid="{D561166F-ED8A-43C5-9265-E3ED6B7385AE}"/>
    <hyperlink ref="B27" location="orforglipron!A1" display="orforglipron" xr:uid="{C28EBB00-A268-45B8-8DB8-7FFF72533C6C}"/>
    <hyperlink ref="B28" location="retatrutide!A1" display="retatrutide" xr:uid="{06B2C94B-A21B-43E5-843C-48A6C6243CDC}"/>
    <hyperlink ref="B32" location="mazdutide!A1" display="mazdutide" xr:uid="{03BEA250-562C-4129-990A-C83E72EE4F29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Q161"/>
  <sheetViews>
    <sheetView tabSelected="1" zoomScale="175" zoomScaleNormal="175" workbookViewId="0">
      <pane xSplit="2" ySplit="2" topLeftCell="DN3" activePane="bottomRight" state="frozen"/>
      <selection pane="topRight" activeCell="C1" sqref="C1"/>
      <selection pane="bottomLeft" activeCell="A3" sqref="A3"/>
      <selection pane="bottomRight" activeCell="DT5" sqref="DT5"/>
    </sheetView>
  </sheetViews>
  <sheetFormatPr defaultColWidth="8.81640625" defaultRowHeight="12.5" x14ac:dyDescent="0.25"/>
  <cols>
    <col min="1" max="1" width="5.453125" customWidth="1"/>
    <col min="2" max="2" width="18.81640625" customWidth="1"/>
    <col min="3" max="53" width="7" style="47" customWidth="1"/>
    <col min="54" max="54" width="6.54296875" style="47" customWidth="1"/>
    <col min="55" max="94" width="7" style="47" customWidth="1"/>
    <col min="95" max="102" width="7.453125" style="47" customWidth="1"/>
    <col min="103" max="121" width="7.81640625" style="47" customWidth="1"/>
    <col min="122" max="126" width="8" style="47" customWidth="1"/>
    <col min="127" max="127" width="4.453125" customWidth="1"/>
    <col min="128" max="143" width="6.54296875" customWidth="1"/>
    <col min="144" max="144" width="6.54296875" style="47" customWidth="1"/>
    <col min="145" max="152" width="7.453125" style="47" customWidth="1"/>
    <col min="153" max="153" width="7" style="47" bestFit="1" customWidth="1"/>
    <col min="154" max="154" width="8.1796875" style="47" customWidth="1"/>
    <col min="155" max="155" width="7" style="47" customWidth="1"/>
    <col min="156" max="156" width="9" style="47" customWidth="1"/>
    <col min="157" max="157" width="7" style="47" customWidth="1"/>
    <col min="158" max="160" width="7.453125" style="47" customWidth="1"/>
    <col min="161" max="168" width="7.453125" customWidth="1"/>
    <col min="169" max="170" width="7.1796875" customWidth="1"/>
    <col min="171" max="172" width="8.1796875" customWidth="1"/>
    <col min="173" max="178" width="7.7265625" customWidth="1"/>
    <col min="181" max="181" width="9.453125" bestFit="1" customWidth="1"/>
  </cols>
  <sheetData>
    <row r="1" spans="1:178" x14ac:dyDescent="0.25">
      <c r="A1" s="46" t="s">
        <v>6</v>
      </c>
      <c r="DJ1" s="99"/>
      <c r="DK1" s="99"/>
      <c r="DL1" s="99"/>
      <c r="DM1" s="99"/>
      <c r="DN1" s="99"/>
      <c r="DO1" s="99"/>
      <c r="DP1" s="99"/>
      <c r="DQ1" s="99"/>
      <c r="DR1" s="99"/>
      <c r="DS1" s="99"/>
      <c r="DT1" s="99"/>
      <c r="DU1" s="99"/>
      <c r="DV1" s="99"/>
      <c r="DX1" s="102"/>
      <c r="DY1" s="102"/>
      <c r="DZ1" s="102"/>
      <c r="EA1" s="102"/>
      <c r="EB1" s="102"/>
      <c r="EC1" s="102"/>
      <c r="ED1" s="102"/>
      <c r="EE1" s="102"/>
      <c r="EF1" s="102"/>
      <c r="EG1" s="102"/>
      <c r="EH1" s="102"/>
      <c r="EI1" s="102"/>
      <c r="EJ1" s="102"/>
      <c r="EK1" s="102"/>
      <c r="EL1" s="102"/>
      <c r="EM1" s="102"/>
      <c r="EN1" s="99"/>
      <c r="EO1" s="99"/>
      <c r="EP1" s="99"/>
      <c r="EQ1" s="99"/>
      <c r="ER1" s="99"/>
      <c r="ES1" s="99"/>
      <c r="ET1" s="99"/>
    </row>
    <row r="2" spans="1:178" x14ac:dyDescent="0.25">
      <c r="A2" s="102"/>
      <c r="C2" s="48" t="s">
        <v>836</v>
      </c>
      <c r="D2" s="48" t="s">
        <v>837</v>
      </c>
      <c r="E2" s="48" t="s">
        <v>838</v>
      </c>
      <c r="F2" s="48" t="s">
        <v>839</v>
      </c>
      <c r="G2" s="48" t="s">
        <v>832</v>
      </c>
      <c r="H2" s="48" t="s">
        <v>833</v>
      </c>
      <c r="I2" s="48" t="s">
        <v>834</v>
      </c>
      <c r="J2" s="48" t="s">
        <v>835</v>
      </c>
      <c r="K2" s="48" t="s">
        <v>828</v>
      </c>
      <c r="L2" s="48" t="s">
        <v>829</v>
      </c>
      <c r="M2" s="48" t="s">
        <v>830</v>
      </c>
      <c r="N2" s="48" t="s">
        <v>831</v>
      </c>
      <c r="O2" s="48" t="s">
        <v>824</v>
      </c>
      <c r="P2" s="48" t="s">
        <v>825</v>
      </c>
      <c r="Q2" s="48" t="s">
        <v>826</v>
      </c>
      <c r="R2" s="48" t="s">
        <v>827</v>
      </c>
      <c r="S2" s="48" t="s">
        <v>822</v>
      </c>
      <c r="T2" s="48" t="s">
        <v>823</v>
      </c>
      <c r="U2" s="48" t="s">
        <v>658</v>
      </c>
      <c r="V2" s="48" t="s">
        <v>657</v>
      </c>
      <c r="W2" s="48" t="s">
        <v>645</v>
      </c>
      <c r="X2" s="48" t="s">
        <v>656</v>
      </c>
      <c r="Y2" s="48" t="s">
        <v>655</v>
      </c>
      <c r="Z2" s="48" t="s">
        <v>654</v>
      </c>
      <c r="AA2" s="48" t="s">
        <v>653</v>
      </c>
      <c r="AB2" s="48" t="s">
        <v>652</v>
      </c>
      <c r="AC2" s="48" t="s">
        <v>651</v>
      </c>
      <c r="AD2" s="48" t="s">
        <v>650</v>
      </c>
      <c r="AE2" s="48" t="s">
        <v>649</v>
      </c>
      <c r="AF2" s="48" t="s">
        <v>648</v>
      </c>
      <c r="AG2" s="48" t="s">
        <v>647</v>
      </c>
      <c r="AH2" s="48" t="s">
        <v>646</v>
      </c>
      <c r="AI2" s="48" t="s">
        <v>512</v>
      </c>
      <c r="AJ2" s="48" t="s">
        <v>511</v>
      </c>
      <c r="AK2" s="48" t="s">
        <v>510</v>
      </c>
      <c r="AL2" s="48" t="s">
        <v>509</v>
      </c>
      <c r="AM2" s="47" t="s">
        <v>203</v>
      </c>
      <c r="AN2" s="47" t="s">
        <v>202</v>
      </c>
      <c r="AO2" s="47" t="s">
        <v>201</v>
      </c>
      <c r="AP2" s="47" t="s">
        <v>127</v>
      </c>
      <c r="AQ2" s="47" t="s">
        <v>126</v>
      </c>
      <c r="AR2" s="47" t="s">
        <v>125</v>
      </c>
      <c r="AS2" s="47" t="s">
        <v>124</v>
      </c>
      <c r="AT2" s="47" t="s">
        <v>99</v>
      </c>
      <c r="AU2" s="47" t="s">
        <v>100</v>
      </c>
      <c r="AV2" s="47" t="s">
        <v>97</v>
      </c>
      <c r="AW2" s="47" t="s">
        <v>96</v>
      </c>
      <c r="AX2" s="47" t="s">
        <v>98</v>
      </c>
      <c r="AY2" s="47" t="s">
        <v>128</v>
      </c>
      <c r="AZ2" s="47" t="s">
        <v>163</v>
      </c>
      <c r="BA2" s="47" t="s">
        <v>185</v>
      </c>
      <c r="BB2" s="47" t="s">
        <v>186</v>
      </c>
      <c r="BC2" s="47" t="s">
        <v>197</v>
      </c>
      <c r="BD2" s="47" t="s">
        <v>198</v>
      </c>
      <c r="BE2" s="47" t="s">
        <v>199</v>
      </c>
      <c r="BF2" s="47" t="s">
        <v>200</v>
      </c>
      <c r="BG2" s="48" t="s">
        <v>244</v>
      </c>
      <c r="BH2" s="48" t="s">
        <v>245</v>
      </c>
      <c r="BI2" s="48" t="s">
        <v>246</v>
      </c>
      <c r="BJ2" s="48" t="s">
        <v>247</v>
      </c>
      <c r="BK2" s="48" t="s">
        <v>257</v>
      </c>
      <c r="BL2" s="48" t="s">
        <v>258</v>
      </c>
      <c r="BM2" s="48" t="s">
        <v>259</v>
      </c>
      <c r="BN2" s="48" t="s">
        <v>260</v>
      </c>
      <c r="BO2" s="48" t="s">
        <v>269</v>
      </c>
      <c r="BP2" s="48" t="s">
        <v>270</v>
      </c>
      <c r="BQ2" s="48" t="s">
        <v>271</v>
      </c>
      <c r="BR2" s="48" t="s">
        <v>272</v>
      </c>
      <c r="BS2" s="48" t="s">
        <v>313</v>
      </c>
      <c r="BT2" s="48" t="s">
        <v>314</v>
      </c>
      <c r="BU2" s="48" t="s">
        <v>315</v>
      </c>
      <c r="BV2" s="48" t="s">
        <v>316</v>
      </c>
      <c r="BW2" s="48" t="s">
        <v>317</v>
      </c>
      <c r="BX2" s="48" t="s">
        <v>318</v>
      </c>
      <c r="BY2" s="48" t="s">
        <v>319</v>
      </c>
      <c r="BZ2" s="48" t="s">
        <v>320</v>
      </c>
      <c r="CA2" s="48" t="s">
        <v>331</v>
      </c>
      <c r="CB2" s="48" t="s">
        <v>329</v>
      </c>
      <c r="CC2" s="48" t="s">
        <v>332</v>
      </c>
      <c r="CD2" s="48" t="s">
        <v>333</v>
      </c>
      <c r="CE2" s="48" t="s">
        <v>334</v>
      </c>
      <c r="CF2" s="48" t="s">
        <v>335</v>
      </c>
      <c r="CG2" s="48" t="s">
        <v>336</v>
      </c>
      <c r="CH2" s="48" t="s">
        <v>337</v>
      </c>
      <c r="CI2" s="48" t="s">
        <v>338</v>
      </c>
      <c r="CJ2" s="48" t="s">
        <v>339</v>
      </c>
      <c r="CK2" s="48" t="s">
        <v>340</v>
      </c>
      <c r="CL2" s="48" t="s">
        <v>341</v>
      </c>
      <c r="CM2" s="48" t="s">
        <v>342</v>
      </c>
      <c r="CN2" s="48" t="s">
        <v>343</v>
      </c>
      <c r="CO2" s="48" t="s">
        <v>344</v>
      </c>
      <c r="CP2" s="48" t="s">
        <v>345</v>
      </c>
      <c r="CQ2" s="48" t="s">
        <v>346</v>
      </c>
      <c r="CR2" s="48" t="s">
        <v>347</v>
      </c>
      <c r="CS2" s="48" t="s">
        <v>348</v>
      </c>
      <c r="CT2" s="48" t="s">
        <v>349</v>
      </c>
      <c r="CU2" s="48" t="s">
        <v>350</v>
      </c>
      <c r="CV2" s="48" t="s">
        <v>351</v>
      </c>
      <c r="CW2" s="48" t="s">
        <v>352</v>
      </c>
      <c r="CX2" s="48" t="s">
        <v>353</v>
      </c>
      <c r="CY2" s="48" t="s">
        <v>354</v>
      </c>
      <c r="CZ2" s="48" t="s">
        <v>355</v>
      </c>
      <c r="DA2" s="48" t="s">
        <v>356</v>
      </c>
      <c r="DB2" s="48" t="s">
        <v>357</v>
      </c>
      <c r="DC2" s="48" t="s">
        <v>358</v>
      </c>
      <c r="DD2" s="48" t="s">
        <v>359</v>
      </c>
      <c r="DE2" s="48" t="s">
        <v>360</v>
      </c>
      <c r="DF2" s="48" t="s">
        <v>361</v>
      </c>
      <c r="DG2" s="48" t="s">
        <v>330</v>
      </c>
      <c r="DH2" s="48" t="s">
        <v>362</v>
      </c>
      <c r="DI2" s="48" t="s">
        <v>363</v>
      </c>
      <c r="DJ2" s="48" t="s">
        <v>364</v>
      </c>
      <c r="DK2" s="48" t="s">
        <v>381</v>
      </c>
      <c r="DL2" s="48" t="s">
        <v>382</v>
      </c>
      <c r="DM2" s="48" t="s">
        <v>383</v>
      </c>
      <c r="DN2" s="48" t="s">
        <v>384</v>
      </c>
      <c r="DO2" s="48" t="s">
        <v>513</v>
      </c>
      <c r="DP2" s="48" t="s">
        <v>514</v>
      </c>
      <c r="DQ2" s="48" t="s">
        <v>515</v>
      </c>
      <c r="DR2" s="48" t="s">
        <v>516</v>
      </c>
      <c r="DS2" s="48" t="s">
        <v>688</v>
      </c>
      <c r="DT2" s="48" t="s">
        <v>689</v>
      </c>
      <c r="DU2" s="48" t="s">
        <v>690</v>
      </c>
      <c r="DV2" s="48" t="s">
        <v>691</v>
      </c>
      <c r="DX2">
        <v>1985</v>
      </c>
      <c r="DY2">
        <v>1986</v>
      </c>
      <c r="DZ2">
        <v>1987</v>
      </c>
      <c r="EA2">
        <v>1988</v>
      </c>
      <c r="EB2">
        <v>1989</v>
      </c>
      <c r="EC2">
        <v>1990</v>
      </c>
      <c r="ED2">
        <v>1991</v>
      </c>
      <c r="EE2">
        <v>1992</v>
      </c>
      <c r="EF2">
        <v>1993</v>
      </c>
      <c r="EG2">
        <v>1994</v>
      </c>
      <c r="EH2">
        <v>1995</v>
      </c>
      <c r="EI2">
        <v>1996</v>
      </c>
      <c r="EJ2">
        <v>1997</v>
      </c>
      <c r="EK2">
        <v>1998</v>
      </c>
      <c r="EL2">
        <v>1999</v>
      </c>
      <c r="EM2">
        <v>2000</v>
      </c>
      <c r="EN2" s="47">
        <v>2001</v>
      </c>
      <c r="EO2" s="47">
        <v>2002</v>
      </c>
      <c r="EP2" s="47">
        <v>2003</v>
      </c>
      <c r="EQ2" s="47">
        <v>2004</v>
      </c>
      <c r="ER2" s="47">
        <v>2005</v>
      </c>
      <c r="ES2" s="47">
        <v>2006</v>
      </c>
      <c r="ET2" s="47">
        <v>2007</v>
      </c>
      <c r="EU2" s="47">
        <v>2008</v>
      </c>
      <c r="EV2" s="47">
        <v>2009</v>
      </c>
      <c r="EW2" s="47">
        <v>2010</v>
      </c>
      <c r="EX2" s="47">
        <v>2011</v>
      </c>
      <c r="EY2" s="47">
        <v>2012</v>
      </c>
      <c r="EZ2" s="47">
        <v>2013</v>
      </c>
      <c r="FA2" s="47">
        <v>2014</v>
      </c>
      <c r="FB2" s="47">
        <v>2015</v>
      </c>
      <c r="FC2" s="47">
        <v>2016</v>
      </c>
      <c r="FD2" s="47">
        <v>2017</v>
      </c>
      <c r="FE2">
        <f>+FD2+1</f>
        <v>2018</v>
      </c>
      <c r="FF2">
        <f t="shared" ref="FF2:FI2" si="0">+FE2+1</f>
        <v>2019</v>
      </c>
      <c r="FG2">
        <f t="shared" si="0"/>
        <v>2020</v>
      </c>
      <c r="FH2">
        <f t="shared" si="0"/>
        <v>2021</v>
      </c>
      <c r="FI2">
        <f t="shared" si="0"/>
        <v>2022</v>
      </c>
      <c r="FJ2">
        <f>+FI2+1</f>
        <v>2023</v>
      </c>
      <c r="FK2">
        <f t="shared" ref="FK2:FQ2" si="1">+FJ2+1</f>
        <v>2024</v>
      </c>
      <c r="FL2">
        <f t="shared" si="1"/>
        <v>2025</v>
      </c>
      <c r="FM2">
        <f t="shared" si="1"/>
        <v>2026</v>
      </c>
      <c r="FN2">
        <f t="shared" si="1"/>
        <v>2027</v>
      </c>
      <c r="FO2">
        <f t="shared" si="1"/>
        <v>2028</v>
      </c>
      <c r="FP2">
        <f t="shared" si="1"/>
        <v>2029</v>
      </c>
      <c r="FQ2">
        <f t="shared" si="1"/>
        <v>2030</v>
      </c>
      <c r="FR2">
        <v>2031</v>
      </c>
      <c r="FS2">
        <v>2032</v>
      </c>
      <c r="FT2">
        <v>2033</v>
      </c>
      <c r="FU2">
        <v>2034</v>
      </c>
      <c r="FV2">
        <v>2035</v>
      </c>
    </row>
    <row r="3" spans="1:178" ht="13" x14ac:dyDescent="0.3">
      <c r="A3" s="102"/>
      <c r="B3" s="38" t="s">
        <v>118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5"/>
      <c r="BY3" s="105"/>
      <c r="BZ3" s="105"/>
      <c r="CA3" s="105"/>
      <c r="CB3" s="105"/>
      <c r="CC3" s="52"/>
      <c r="CD3" s="52">
        <f t="shared" ref="CD3:DD3" si="2">SUM(CD5:CD7)</f>
        <v>10.199999999999999</v>
      </c>
      <c r="CE3" s="52">
        <f t="shared" si="2"/>
        <v>18.3</v>
      </c>
      <c r="CF3" s="52">
        <f t="shared" si="2"/>
        <v>44.3</v>
      </c>
      <c r="CG3" s="52">
        <f t="shared" si="2"/>
        <v>73.7</v>
      </c>
      <c r="CH3" s="52">
        <f t="shared" si="2"/>
        <v>112.5</v>
      </c>
      <c r="CI3" s="52">
        <f t="shared" si="2"/>
        <v>143.6</v>
      </c>
      <c r="CJ3" s="52">
        <f t="shared" si="2"/>
        <v>201.3</v>
      </c>
      <c r="CK3" s="52">
        <f t="shared" si="2"/>
        <v>243.6</v>
      </c>
      <c r="CL3" s="52">
        <f t="shared" si="2"/>
        <v>337</v>
      </c>
      <c r="CM3" s="52">
        <f t="shared" si="2"/>
        <v>372.9</v>
      </c>
      <c r="CN3" s="52">
        <f t="shared" si="2"/>
        <v>480.2</v>
      </c>
      <c r="CO3" s="52">
        <f t="shared" si="2"/>
        <v>527.70000000000005</v>
      </c>
      <c r="CP3" s="52">
        <f t="shared" si="2"/>
        <v>649</v>
      </c>
      <c r="CQ3" s="52">
        <f t="shared" si="2"/>
        <v>678.3</v>
      </c>
      <c r="CR3" s="52">
        <f t="shared" si="2"/>
        <v>779.8</v>
      </c>
      <c r="CS3" s="52">
        <f t="shared" si="2"/>
        <v>816.2</v>
      </c>
      <c r="CT3" s="52">
        <f t="shared" si="2"/>
        <v>924.7</v>
      </c>
      <c r="CU3" s="52">
        <f t="shared" si="2"/>
        <v>879.7</v>
      </c>
      <c r="CV3" s="52">
        <f t="shared" si="2"/>
        <v>1028.5</v>
      </c>
      <c r="CW3" s="52">
        <f t="shared" si="2"/>
        <v>1011.5</v>
      </c>
      <c r="CX3" s="52">
        <f t="shared" si="2"/>
        <v>1208.0999999999999</v>
      </c>
      <c r="CY3" s="52">
        <f t="shared" si="2"/>
        <v>1229.4000000000001</v>
      </c>
      <c r="CZ3" s="52">
        <f t="shared" si="2"/>
        <v>1229.8</v>
      </c>
      <c r="DA3" s="52">
        <f t="shared" si="2"/>
        <v>1106.5999999999999</v>
      </c>
      <c r="DB3" s="52">
        <f t="shared" si="2"/>
        <v>1502.4</v>
      </c>
      <c r="DC3" s="52">
        <f t="shared" si="2"/>
        <v>1452.4</v>
      </c>
      <c r="DD3" s="52">
        <f t="shared" si="2"/>
        <v>1535.6</v>
      </c>
      <c r="DE3" s="52">
        <f t="shared" ref="DE3:DM3" si="3">SUM(DE5:DE7)</f>
        <v>1600.1</v>
      </c>
      <c r="DF3" s="52">
        <f t="shared" si="3"/>
        <v>1883.7</v>
      </c>
      <c r="DG3" s="52">
        <f t="shared" si="3"/>
        <v>1741.3</v>
      </c>
      <c r="DH3" s="52">
        <f t="shared" si="3"/>
        <v>1927.9</v>
      </c>
      <c r="DI3" s="52">
        <f t="shared" si="3"/>
        <v>2037.7</v>
      </c>
      <c r="DJ3" s="52">
        <f t="shared" si="3"/>
        <v>2215.4</v>
      </c>
      <c r="DK3" s="52">
        <f t="shared" si="3"/>
        <v>2545.6</v>
      </c>
      <c r="DL3" s="52">
        <f t="shared" si="3"/>
        <v>2792.2</v>
      </c>
      <c r="DM3" s="52">
        <f t="shared" si="3"/>
        <v>3082.8999999999996</v>
      </c>
      <c r="DN3" s="52">
        <f>SUM(DN5:DN7)</f>
        <v>4050.7</v>
      </c>
      <c r="DO3" s="52">
        <f t="shared" ref="DO3:DV3" si="4">SUM(DO5:DO7)</f>
        <v>3780.2000000000003</v>
      </c>
      <c r="DP3" s="52">
        <f t="shared" si="4"/>
        <v>5579.5999999999995</v>
      </c>
      <c r="DQ3" s="52">
        <f t="shared" si="4"/>
        <v>5671.9000000000005</v>
      </c>
      <c r="DR3" s="52">
        <f t="shared" si="4"/>
        <v>6687.5</v>
      </c>
      <c r="DS3" s="52">
        <f t="shared" si="4"/>
        <v>7248.9</v>
      </c>
      <c r="DT3" s="52">
        <f t="shared" si="4"/>
        <v>8148.9</v>
      </c>
      <c r="DU3" s="52">
        <f t="shared" si="4"/>
        <v>8848.9</v>
      </c>
      <c r="DV3" s="52">
        <f t="shared" si="4"/>
        <v>9548.9</v>
      </c>
      <c r="DX3" s="102"/>
      <c r="DY3" s="102"/>
      <c r="DZ3" s="102"/>
      <c r="EA3" s="102"/>
      <c r="EB3" s="102"/>
      <c r="EC3" s="102"/>
      <c r="ED3" s="102"/>
      <c r="EE3" s="102"/>
      <c r="EF3" s="102"/>
      <c r="EG3" s="102"/>
      <c r="EH3" s="102"/>
      <c r="EI3" s="102"/>
      <c r="EJ3" s="102"/>
      <c r="EK3" s="102"/>
      <c r="EL3" s="102"/>
      <c r="EM3" s="102"/>
      <c r="EN3" s="99"/>
      <c r="EO3" s="100"/>
      <c r="EP3" s="100"/>
      <c r="EQ3" s="100"/>
      <c r="ER3" s="100"/>
      <c r="ES3" s="100"/>
      <c r="ET3" s="100"/>
      <c r="EU3" s="100"/>
      <c r="EV3" s="100"/>
      <c r="EW3" s="99"/>
      <c r="EX3" s="99"/>
      <c r="EY3" s="99"/>
      <c r="EZ3" s="99"/>
      <c r="FA3" s="56">
        <f t="shared" ref="FA3:FJ3" si="5">SUM(FA5:FA7)</f>
        <v>10.199999999999999</v>
      </c>
      <c r="FB3" s="56">
        <f t="shared" si="5"/>
        <v>248.8</v>
      </c>
      <c r="FC3" s="56">
        <f t="shared" si="5"/>
        <v>925.5</v>
      </c>
      <c r="FD3" s="56">
        <f t="shared" si="5"/>
        <v>2029.8</v>
      </c>
      <c r="FE3" s="56">
        <f t="shared" si="5"/>
        <v>3199.1</v>
      </c>
      <c r="FF3" s="56">
        <f t="shared" si="5"/>
        <v>4127.7999999999993</v>
      </c>
      <c r="FG3" s="56">
        <f t="shared" si="5"/>
        <v>5068.2</v>
      </c>
      <c r="FH3" s="56">
        <f t="shared" si="5"/>
        <v>6471.8</v>
      </c>
      <c r="FI3" s="56">
        <f t="shared" si="5"/>
        <v>7922.3</v>
      </c>
      <c r="FJ3" s="56">
        <f t="shared" si="5"/>
        <v>12471.4</v>
      </c>
      <c r="FK3" s="56">
        <f>SUM(FK5:FK7)</f>
        <v>21719.199999999997</v>
      </c>
      <c r="FL3" s="56">
        <f>SUM(FL5:FL9)</f>
        <v>33795.599999999999</v>
      </c>
      <c r="FM3" s="56">
        <f t="shared" ref="FM3:FV3" si="6">SUM(FM5:FM9)</f>
        <v>45545.36</v>
      </c>
      <c r="FN3" s="56">
        <f t="shared" si="6"/>
        <v>63248.719999999987</v>
      </c>
      <c r="FO3" s="56">
        <f t="shared" si="6"/>
        <v>80030.579199999993</v>
      </c>
      <c r="FP3" s="56">
        <f t="shared" si="6"/>
        <v>91702.906239999997</v>
      </c>
      <c r="FQ3" s="56">
        <f t="shared" si="6"/>
        <v>103658.61216</v>
      </c>
      <c r="FR3" s="56">
        <f t="shared" si="6"/>
        <v>105827.73404800001</v>
      </c>
      <c r="FS3" s="56">
        <f t="shared" si="6"/>
        <v>108900.60883392001</v>
      </c>
      <c r="FT3" s="56">
        <f t="shared" si="6"/>
        <v>112846.49438137602</v>
      </c>
      <c r="FU3" s="56">
        <f t="shared" si="6"/>
        <v>117645.17275401601</v>
      </c>
      <c r="FV3" s="56">
        <f t="shared" si="6"/>
        <v>116486.34545994563</v>
      </c>
    </row>
    <row r="4" spans="1:178" s="102" customFormat="1" ht="6" customHeight="1" x14ac:dyDescent="0.25"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3"/>
      <c r="CO4" s="103"/>
      <c r="CP4" s="103"/>
      <c r="CQ4" s="103"/>
      <c r="CR4" s="103"/>
      <c r="CS4" s="103"/>
      <c r="CT4" s="103"/>
      <c r="CU4" s="103"/>
      <c r="CV4" s="103"/>
      <c r="CW4" s="103"/>
      <c r="CX4" s="103"/>
      <c r="CY4" s="103"/>
      <c r="CZ4" s="103"/>
      <c r="DA4" s="103"/>
      <c r="DB4" s="103"/>
      <c r="DC4" s="103"/>
      <c r="DD4" s="103"/>
      <c r="DE4" s="103"/>
      <c r="DF4" s="103"/>
      <c r="DG4" s="103"/>
      <c r="DH4" s="103"/>
      <c r="DI4" s="103"/>
      <c r="DJ4" s="103"/>
      <c r="DK4" s="103"/>
      <c r="DL4" s="103"/>
      <c r="DM4" s="103"/>
      <c r="DN4" s="103"/>
      <c r="DO4" s="103"/>
      <c r="DP4" s="103"/>
      <c r="DQ4" s="103"/>
      <c r="DR4" s="103"/>
      <c r="DS4" s="103"/>
      <c r="DT4" s="103"/>
      <c r="DU4" s="103"/>
      <c r="DV4" s="103"/>
      <c r="EN4" s="99"/>
      <c r="EO4" s="100"/>
      <c r="EP4" s="100"/>
      <c r="EQ4" s="100"/>
      <c r="ER4" s="100"/>
      <c r="ES4" s="100"/>
      <c r="ET4" s="100"/>
      <c r="EU4" s="100"/>
      <c r="EV4" s="100"/>
      <c r="EW4" s="99"/>
      <c r="EX4" s="99"/>
      <c r="EY4" s="99"/>
      <c r="EZ4" s="99"/>
      <c r="FA4" s="99"/>
      <c r="FB4" s="99"/>
      <c r="FC4" s="99"/>
      <c r="FD4" s="99"/>
    </row>
    <row r="5" spans="1:178" s="49" customFormat="1" x14ac:dyDescent="0.25">
      <c r="A5" s="98"/>
      <c r="B5" s="50" t="s">
        <v>365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52"/>
      <c r="CD5" s="52">
        <v>10.199999999999999</v>
      </c>
      <c r="CE5" s="52">
        <v>18.3</v>
      </c>
      <c r="CF5" s="52">
        <v>44.3</v>
      </c>
      <c r="CG5" s="52">
        <v>73.7</v>
      </c>
      <c r="CH5" s="52">
        <v>112.5</v>
      </c>
      <c r="CI5" s="52">
        <v>143.6</v>
      </c>
      <c r="CJ5" s="52">
        <v>201.3</v>
      </c>
      <c r="CK5" s="52">
        <v>243.6</v>
      </c>
      <c r="CL5" s="52">
        <v>337</v>
      </c>
      <c r="CM5" s="52">
        <v>372.9</v>
      </c>
      <c r="CN5" s="52">
        <v>480.2</v>
      </c>
      <c r="CO5" s="52">
        <v>527.70000000000005</v>
      </c>
      <c r="CP5" s="52">
        <v>649</v>
      </c>
      <c r="CQ5" s="52">
        <v>678.3</v>
      </c>
      <c r="CR5" s="52">
        <v>779.8</v>
      </c>
      <c r="CS5" s="52">
        <v>816.2</v>
      </c>
      <c r="CT5" s="52">
        <v>924.7</v>
      </c>
      <c r="CU5" s="52">
        <v>879.7</v>
      </c>
      <c r="CV5" s="52">
        <v>1028.5</v>
      </c>
      <c r="CW5" s="52">
        <v>1011.5</v>
      </c>
      <c r="CX5" s="52">
        <v>1208.0999999999999</v>
      </c>
      <c r="CY5" s="52">
        <v>1229.4000000000001</v>
      </c>
      <c r="CZ5" s="52">
        <v>1229.8</v>
      </c>
      <c r="DA5" s="52">
        <v>1106.5999999999999</v>
      </c>
      <c r="DB5" s="52">
        <v>1502.4</v>
      </c>
      <c r="DC5" s="52">
        <v>1452.4</v>
      </c>
      <c r="DD5" s="52">
        <v>1535.6</v>
      </c>
      <c r="DE5" s="52">
        <v>1600.1</v>
      </c>
      <c r="DF5" s="52">
        <v>1883.7</v>
      </c>
      <c r="DG5" s="52">
        <v>1741.3</v>
      </c>
      <c r="DH5" s="52">
        <v>1911.9</v>
      </c>
      <c r="DI5" s="52">
        <v>1850.4</v>
      </c>
      <c r="DJ5" s="52">
        <v>1936.2</v>
      </c>
      <c r="DK5" s="52">
        <v>1977.1</v>
      </c>
      <c r="DL5" s="52">
        <v>1812.5</v>
      </c>
      <c r="DM5" s="52">
        <v>1673.6</v>
      </c>
      <c r="DN5" s="52">
        <v>1669.3</v>
      </c>
      <c r="DO5" s="52">
        <v>1456.3</v>
      </c>
      <c r="DP5" s="52">
        <v>1245.5999999999999</v>
      </c>
      <c r="DQ5" s="52">
        <v>1301.4000000000001</v>
      </c>
      <c r="DR5" s="52">
        <v>1250.2</v>
      </c>
      <c r="DS5" s="52">
        <v>1095.2</v>
      </c>
      <c r="DT5" s="52">
        <f>+DS5-100</f>
        <v>995.2</v>
      </c>
      <c r="DU5" s="52">
        <f>+DT5-100</f>
        <v>895.2</v>
      </c>
      <c r="DV5" s="52">
        <f>+DU5-100</f>
        <v>795.2</v>
      </c>
      <c r="DX5" s="98"/>
      <c r="DY5" s="98"/>
      <c r="DZ5" s="98"/>
      <c r="EA5" s="98"/>
      <c r="EB5" s="98"/>
      <c r="EC5" s="98"/>
      <c r="ED5" s="98"/>
      <c r="EE5" s="98"/>
      <c r="EF5" s="98"/>
      <c r="EG5" s="98"/>
      <c r="EH5" s="98"/>
      <c r="EI5" s="98"/>
      <c r="EJ5" s="98"/>
      <c r="EK5" s="98"/>
      <c r="EL5" s="98"/>
      <c r="EM5" s="98"/>
      <c r="EN5" s="97"/>
      <c r="EO5" s="101"/>
      <c r="EP5" s="101"/>
      <c r="EQ5" s="101"/>
      <c r="ER5" s="101"/>
      <c r="ES5" s="101"/>
      <c r="ET5" s="101"/>
      <c r="EU5" s="101"/>
      <c r="EV5" s="101"/>
      <c r="EW5" s="97"/>
      <c r="EX5" s="97"/>
      <c r="EY5" s="97"/>
      <c r="EZ5" s="97"/>
      <c r="FA5" s="51">
        <f>SUM(CA5:CD5)</f>
        <v>10.199999999999999</v>
      </c>
      <c r="FB5" s="51">
        <f>SUM(CE5:CH5)</f>
        <v>248.8</v>
      </c>
      <c r="FC5" s="51">
        <f>SUM(CI5:CL5)</f>
        <v>925.5</v>
      </c>
      <c r="FD5" s="51">
        <v>2029.8</v>
      </c>
      <c r="FE5" s="49">
        <v>3199.1</v>
      </c>
      <c r="FF5" s="49">
        <f>SUM(CU5:CX5)</f>
        <v>4127.7999999999993</v>
      </c>
      <c r="FG5" s="49">
        <f>SUM(CY5:DB5)</f>
        <v>5068.2</v>
      </c>
      <c r="FH5" s="49">
        <f>SUM(DC5:DF5)</f>
        <v>6471.8</v>
      </c>
      <c r="FI5" s="49">
        <f>SUM(DG5:DJ5)</f>
        <v>7439.8</v>
      </c>
      <c r="FJ5" s="49">
        <f>SUM(DK5:DN5)</f>
        <v>7132.5</v>
      </c>
      <c r="FK5" s="49">
        <f>SUM(Model!DO5:DR5)</f>
        <v>5253.5</v>
      </c>
      <c r="FL5" s="49">
        <f>SUM(DS5:DV5)</f>
        <v>3780.8</v>
      </c>
      <c r="FM5" s="49">
        <f>+FL5*0.8</f>
        <v>3024.6400000000003</v>
      </c>
      <c r="FN5" s="49">
        <f t="shared" ref="FN5:FQ5" si="7">+FM5*0.8</f>
        <v>2419.7120000000004</v>
      </c>
      <c r="FO5" s="49">
        <f t="shared" si="7"/>
        <v>1935.7696000000005</v>
      </c>
      <c r="FP5" s="49">
        <f t="shared" si="7"/>
        <v>1548.6156800000006</v>
      </c>
      <c r="FQ5" s="49">
        <f t="shared" si="7"/>
        <v>1238.8925440000005</v>
      </c>
      <c r="FR5" s="49">
        <f t="shared" ref="FR5:FV5" si="8">+FQ5*0.8</f>
        <v>991.11403520000044</v>
      </c>
      <c r="FS5" s="49">
        <f t="shared" si="8"/>
        <v>792.89122816000042</v>
      </c>
      <c r="FT5" s="49">
        <f t="shared" si="8"/>
        <v>634.31298252800036</v>
      </c>
      <c r="FU5" s="49">
        <f t="shared" si="8"/>
        <v>507.45038602240032</v>
      </c>
      <c r="FV5" s="49">
        <f t="shared" si="8"/>
        <v>405.96030881792029</v>
      </c>
    </row>
    <row r="6" spans="1:178" s="49" customFormat="1" x14ac:dyDescent="0.25">
      <c r="A6" s="98"/>
      <c r="B6" s="50" t="s">
        <v>506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5"/>
      <c r="CU6" s="105"/>
      <c r="CV6" s="105"/>
      <c r="CW6" s="105"/>
      <c r="CX6" s="105"/>
      <c r="CY6" s="105"/>
      <c r="CZ6" s="105"/>
      <c r="DA6" s="105"/>
      <c r="DB6" s="105"/>
      <c r="DC6" s="105"/>
      <c r="DD6" s="105"/>
      <c r="DE6" s="105"/>
      <c r="DF6" s="105"/>
      <c r="DG6" s="105"/>
      <c r="DH6" s="52">
        <v>16</v>
      </c>
      <c r="DI6" s="52">
        <v>187.3</v>
      </c>
      <c r="DJ6" s="52">
        <v>279.2</v>
      </c>
      <c r="DK6" s="52">
        <v>568.5</v>
      </c>
      <c r="DL6" s="52">
        <v>979.7</v>
      </c>
      <c r="DM6" s="52">
        <v>1409.3</v>
      </c>
      <c r="DN6" s="52">
        <v>2205.6</v>
      </c>
      <c r="DO6" s="52">
        <v>1806.5</v>
      </c>
      <c r="DP6" s="52">
        <v>3090.8</v>
      </c>
      <c r="DQ6" s="52">
        <v>3112.7</v>
      </c>
      <c r="DR6" s="52">
        <v>3530.1</v>
      </c>
      <c r="DS6" s="52">
        <v>3841.8</v>
      </c>
      <c r="DT6" s="52">
        <f>+DS6+600</f>
        <v>4441.8</v>
      </c>
      <c r="DU6" s="52">
        <f>+DT6+500</f>
        <v>4941.8</v>
      </c>
      <c r="DV6" s="52">
        <f>+DU6+500</f>
        <v>5441.8</v>
      </c>
      <c r="DX6" s="98"/>
      <c r="DY6" s="98"/>
      <c r="DZ6" s="98"/>
      <c r="EA6" s="98"/>
      <c r="EB6" s="98"/>
      <c r="EC6" s="98"/>
      <c r="ED6" s="98"/>
      <c r="EE6" s="98"/>
      <c r="EF6" s="98"/>
      <c r="EG6" s="98"/>
      <c r="EH6" s="98"/>
      <c r="EI6" s="98"/>
      <c r="EJ6" s="98"/>
      <c r="EK6" s="98"/>
      <c r="EL6" s="98"/>
      <c r="EM6" s="98"/>
      <c r="EN6" s="97"/>
      <c r="EO6" s="101"/>
      <c r="EP6" s="101"/>
      <c r="EQ6" s="101"/>
      <c r="ER6" s="101"/>
      <c r="ES6" s="101"/>
      <c r="ET6" s="101"/>
      <c r="EU6" s="101"/>
      <c r="EV6" s="101"/>
      <c r="EW6" s="97"/>
      <c r="EX6" s="97"/>
      <c r="EY6" s="97"/>
      <c r="EZ6" s="97"/>
      <c r="FA6" s="97"/>
      <c r="FB6" s="97"/>
      <c r="FC6" s="97"/>
      <c r="FD6" s="97"/>
      <c r="FE6" s="98"/>
      <c r="FF6" s="98"/>
      <c r="FG6" s="98"/>
      <c r="FH6" s="98"/>
      <c r="FI6" s="49">
        <f t="shared" ref="FI6:FI41" si="9">SUM(DG6:DJ6)</f>
        <v>482.5</v>
      </c>
      <c r="FJ6" s="49">
        <f t="shared" ref="FJ6:FJ41" si="10">SUM(DK6:DN6)</f>
        <v>5163.1000000000004</v>
      </c>
      <c r="FK6" s="49">
        <f>SUM(Model!DO6:DR6)</f>
        <v>11540.1</v>
      </c>
      <c r="FL6" s="49">
        <f>SUM(DS6:DV6)</f>
        <v>18667.2</v>
      </c>
      <c r="FM6" s="49">
        <f t="shared" ref="FM6:FN7" si="11">FL6*1.4</f>
        <v>26134.079999999998</v>
      </c>
      <c r="FN6" s="49">
        <f t="shared" si="11"/>
        <v>36587.711999999992</v>
      </c>
      <c r="FO6" s="49">
        <f>FN6*1.2</f>
        <v>43905.254399999991</v>
      </c>
      <c r="FP6" s="49">
        <f t="shared" ref="FP6:FP7" si="12">FO6*1.1</f>
        <v>48295.779839999996</v>
      </c>
      <c r="FQ6" s="49">
        <f>+FP6*1.1</f>
        <v>53125.357823999999</v>
      </c>
      <c r="FR6" s="49">
        <f>+FQ6*0.9</f>
        <v>47812.822041599997</v>
      </c>
      <c r="FS6" s="49">
        <f>+FR6*0.9</f>
        <v>43031.539837439996</v>
      </c>
      <c r="FT6" s="49">
        <f>+FS6*0.9</f>
        <v>38728.385853695996</v>
      </c>
      <c r="FU6" s="49">
        <f>+FT6*0.9</f>
        <v>34855.547268326394</v>
      </c>
      <c r="FV6" s="49">
        <f>+FU6*0.9</f>
        <v>31369.992541493757</v>
      </c>
    </row>
    <row r="7" spans="1:178" s="49" customFormat="1" x14ac:dyDescent="0.25">
      <c r="A7" s="98"/>
      <c r="B7" s="50" t="s">
        <v>525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4"/>
      <c r="CK7" s="104"/>
      <c r="CL7" s="104"/>
      <c r="CM7" s="104"/>
      <c r="CN7" s="104"/>
      <c r="CO7" s="104"/>
      <c r="CP7" s="104"/>
      <c r="CQ7" s="104"/>
      <c r="CR7" s="104"/>
      <c r="CS7" s="104"/>
      <c r="CT7" s="105"/>
      <c r="CU7" s="105"/>
      <c r="CV7" s="105"/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105"/>
      <c r="DN7" s="52">
        <v>175.8</v>
      </c>
      <c r="DO7" s="52">
        <v>517.4</v>
      </c>
      <c r="DP7" s="52">
        <v>1243.2</v>
      </c>
      <c r="DQ7" s="52">
        <v>1257.8</v>
      </c>
      <c r="DR7" s="52">
        <v>1907.2</v>
      </c>
      <c r="DS7" s="52">
        <v>2311.9</v>
      </c>
      <c r="DT7" s="52">
        <f>DS7+400</f>
        <v>2711.9</v>
      </c>
      <c r="DU7" s="52">
        <f>DT7+300</f>
        <v>3011.9</v>
      </c>
      <c r="DV7" s="52">
        <f>DU7+300</f>
        <v>3311.9</v>
      </c>
      <c r="DX7" s="98"/>
      <c r="DY7" s="98"/>
      <c r="DZ7" s="98"/>
      <c r="EA7" s="98"/>
      <c r="EB7" s="98"/>
      <c r="EC7" s="98"/>
      <c r="ED7" s="98"/>
      <c r="EE7" s="98"/>
      <c r="EF7" s="98"/>
      <c r="EG7" s="98"/>
      <c r="EH7" s="98"/>
      <c r="EI7" s="98"/>
      <c r="EJ7" s="98"/>
      <c r="EK7" s="98"/>
      <c r="EL7" s="98"/>
      <c r="EM7" s="98"/>
      <c r="EN7" s="97"/>
      <c r="EO7" s="101"/>
      <c r="EP7" s="101"/>
      <c r="EQ7" s="101"/>
      <c r="ER7" s="101"/>
      <c r="ES7" s="101"/>
      <c r="ET7" s="101"/>
      <c r="EU7" s="101"/>
      <c r="EV7" s="101"/>
      <c r="EW7" s="97"/>
      <c r="EX7" s="97"/>
      <c r="EY7" s="97"/>
      <c r="EZ7" s="97"/>
      <c r="FA7" s="97"/>
      <c r="FB7" s="97"/>
      <c r="FC7" s="97"/>
      <c r="FD7" s="97"/>
      <c r="FE7" s="98"/>
      <c r="FF7" s="98"/>
      <c r="FG7" s="98"/>
      <c r="FH7" s="98"/>
      <c r="FI7" s="98"/>
      <c r="FJ7" s="49">
        <f t="shared" si="10"/>
        <v>175.8</v>
      </c>
      <c r="FK7" s="49">
        <f>SUM(Model!DO7:DR7)</f>
        <v>4925.5999999999995</v>
      </c>
      <c r="FL7" s="49">
        <f>SUM(DS7:DV7)</f>
        <v>11347.6</v>
      </c>
      <c r="FM7" s="49">
        <f t="shared" si="11"/>
        <v>15886.64</v>
      </c>
      <c r="FN7" s="49">
        <f t="shared" si="11"/>
        <v>22241.295999999998</v>
      </c>
      <c r="FO7" s="49">
        <f>FN7*1.2</f>
        <v>26689.555199999999</v>
      </c>
      <c r="FP7" s="49">
        <f t="shared" si="12"/>
        <v>29358.510720000002</v>
      </c>
      <c r="FQ7" s="49">
        <f>+FP7*1.1</f>
        <v>32294.361792000003</v>
      </c>
      <c r="FR7" s="49">
        <f t="shared" ref="FR7:FV7" si="13">+FQ7*1.1</f>
        <v>35523.797971200009</v>
      </c>
      <c r="FS7" s="49">
        <f t="shared" si="13"/>
        <v>39076.177768320013</v>
      </c>
      <c r="FT7" s="49">
        <f t="shared" si="13"/>
        <v>42983.795545152017</v>
      </c>
      <c r="FU7" s="49">
        <f t="shared" si="13"/>
        <v>47282.17509966722</v>
      </c>
      <c r="FV7" s="49">
        <f t="shared" si="13"/>
        <v>52010.392609633949</v>
      </c>
    </row>
    <row r="8" spans="1:178" s="49" customFormat="1" x14ac:dyDescent="0.25">
      <c r="A8" s="98"/>
      <c r="B8" s="50" t="s">
        <v>564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  <c r="CF8" s="105"/>
      <c r="CG8" s="105"/>
      <c r="CH8" s="105"/>
      <c r="CI8" s="105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105"/>
      <c r="CU8" s="105"/>
      <c r="CV8" s="105"/>
      <c r="CW8" s="105"/>
      <c r="CX8" s="105"/>
      <c r="CY8" s="105"/>
      <c r="CZ8" s="105"/>
      <c r="DA8" s="105"/>
      <c r="DB8" s="105"/>
      <c r="DC8" s="105"/>
      <c r="DD8" s="105"/>
      <c r="DE8" s="105"/>
      <c r="DF8" s="105"/>
      <c r="DG8" s="105"/>
      <c r="DH8" s="105"/>
      <c r="DI8" s="105"/>
      <c r="DJ8" s="105"/>
      <c r="DK8" s="105"/>
      <c r="DL8" s="105"/>
      <c r="DM8" s="105"/>
      <c r="DN8" s="52"/>
      <c r="DO8" s="52"/>
      <c r="DP8" s="52"/>
      <c r="DQ8" s="52"/>
      <c r="DR8" s="52"/>
      <c r="DS8" s="66"/>
      <c r="DT8" s="66"/>
      <c r="DU8" s="52"/>
      <c r="DV8" s="52"/>
      <c r="DX8" s="98"/>
      <c r="DY8" s="98"/>
      <c r="DZ8" s="98"/>
      <c r="EA8" s="98"/>
      <c r="EB8" s="98"/>
      <c r="EC8" s="98"/>
      <c r="ED8" s="98"/>
      <c r="EE8" s="98"/>
      <c r="EF8" s="98"/>
      <c r="EG8" s="98"/>
      <c r="EH8" s="98"/>
      <c r="EI8" s="98"/>
      <c r="EJ8" s="98"/>
      <c r="EK8" s="98"/>
      <c r="EL8" s="98"/>
      <c r="EM8" s="98"/>
      <c r="EN8" s="97"/>
      <c r="EO8" s="101"/>
      <c r="EP8" s="101"/>
      <c r="EQ8" s="101"/>
      <c r="ER8" s="101"/>
      <c r="ES8" s="101"/>
      <c r="ET8" s="101"/>
      <c r="EU8" s="101"/>
      <c r="EV8" s="101"/>
      <c r="EW8" s="97"/>
      <c r="EX8" s="97"/>
      <c r="EY8" s="97"/>
      <c r="EZ8" s="97"/>
      <c r="FA8" s="97"/>
      <c r="FB8" s="97"/>
      <c r="FC8" s="97"/>
      <c r="FD8" s="97"/>
      <c r="FE8" s="98"/>
      <c r="FF8" s="98"/>
      <c r="FG8" s="98"/>
      <c r="FH8" s="98"/>
      <c r="FI8" s="98"/>
      <c r="FM8" s="49">
        <v>500</v>
      </c>
      <c r="FN8" s="49">
        <v>1500</v>
      </c>
      <c r="FO8" s="49">
        <v>3500</v>
      </c>
      <c r="FP8" s="49">
        <v>4500</v>
      </c>
      <c r="FQ8" s="49">
        <v>5000</v>
      </c>
      <c r="FR8" s="49">
        <f>+FQ8+500</f>
        <v>5500</v>
      </c>
      <c r="FS8" s="49">
        <f>+FR8+500</f>
        <v>6000</v>
      </c>
      <c r="FT8" s="49">
        <f>+FS8+500</f>
        <v>6500</v>
      </c>
      <c r="FU8" s="49">
        <f>+FT8+500</f>
        <v>7000</v>
      </c>
      <c r="FV8" s="49">
        <f>+FU8*0.1</f>
        <v>700</v>
      </c>
    </row>
    <row r="9" spans="1:178" s="49" customFormat="1" x14ac:dyDescent="0.25">
      <c r="A9" s="98"/>
      <c r="B9" s="50" t="s">
        <v>711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105"/>
      <c r="BH9" s="105"/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4"/>
      <c r="CK9" s="104"/>
      <c r="CL9" s="104"/>
      <c r="CM9" s="104"/>
      <c r="CN9" s="104"/>
      <c r="CO9" s="104"/>
      <c r="CP9" s="104"/>
      <c r="CQ9" s="104"/>
      <c r="CR9" s="104"/>
      <c r="CS9" s="104"/>
      <c r="CT9" s="105"/>
      <c r="CU9" s="105"/>
      <c r="CV9" s="105"/>
      <c r="CW9" s="105"/>
      <c r="CX9" s="105"/>
      <c r="CY9" s="105"/>
      <c r="CZ9" s="105"/>
      <c r="DA9" s="105"/>
      <c r="DB9" s="105"/>
      <c r="DC9" s="105"/>
      <c r="DD9" s="105"/>
      <c r="DE9" s="105"/>
      <c r="DF9" s="105"/>
      <c r="DG9" s="105"/>
      <c r="DH9" s="105"/>
      <c r="DI9" s="105"/>
      <c r="DJ9" s="105"/>
      <c r="DK9" s="105"/>
      <c r="DL9" s="105"/>
      <c r="DM9" s="105"/>
      <c r="DN9" s="52"/>
      <c r="DO9" s="52"/>
      <c r="DP9" s="52"/>
      <c r="DQ9" s="52"/>
      <c r="DR9" s="52"/>
      <c r="DS9" s="52"/>
      <c r="DT9" s="52"/>
      <c r="DU9" s="52"/>
      <c r="DV9" s="52"/>
      <c r="DX9" s="98"/>
      <c r="DY9" s="98"/>
      <c r="DZ9" s="98"/>
      <c r="EA9" s="98"/>
      <c r="EB9" s="98"/>
      <c r="EC9" s="98"/>
      <c r="ED9" s="98"/>
      <c r="EE9" s="98"/>
      <c r="EF9" s="98"/>
      <c r="EG9" s="98"/>
      <c r="EH9" s="98"/>
      <c r="EI9" s="98"/>
      <c r="EJ9" s="98"/>
      <c r="EK9" s="98"/>
      <c r="EL9" s="98"/>
      <c r="EM9" s="98"/>
      <c r="EN9" s="97"/>
      <c r="EO9" s="101"/>
      <c r="EP9" s="101"/>
      <c r="EQ9" s="101"/>
      <c r="ER9" s="101"/>
      <c r="ES9" s="101"/>
      <c r="ET9" s="101"/>
      <c r="EU9" s="101"/>
      <c r="EV9" s="101"/>
      <c r="EW9" s="97"/>
      <c r="EX9" s="97"/>
      <c r="EY9" s="97"/>
      <c r="EZ9" s="97"/>
      <c r="FA9" s="97"/>
      <c r="FB9" s="97"/>
      <c r="FC9" s="97"/>
      <c r="FD9" s="97"/>
      <c r="FE9" s="98"/>
      <c r="FF9" s="98"/>
      <c r="FG9" s="98"/>
      <c r="FH9" s="98"/>
      <c r="FI9" s="98"/>
      <c r="FN9" s="49">
        <v>500</v>
      </c>
      <c r="FO9" s="49">
        <v>4000</v>
      </c>
      <c r="FP9" s="49">
        <f>+FO9+4000</f>
        <v>8000</v>
      </c>
      <c r="FQ9" s="49">
        <f t="shared" ref="FQ9:FV9" si="14">+FP9+4000</f>
        <v>12000</v>
      </c>
      <c r="FR9" s="49">
        <f t="shared" si="14"/>
        <v>16000</v>
      </c>
      <c r="FS9" s="49">
        <f t="shared" si="14"/>
        <v>20000</v>
      </c>
      <c r="FT9" s="49">
        <f t="shared" si="14"/>
        <v>24000</v>
      </c>
      <c r="FU9" s="49">
        <f t="shared" si="14"/>
        <v>28000</v>
      </c>
      <c r="FV9" s="49">
        <f t="shared" si="14"/>
        <v>32000</v>
      </c>
    </row>
    <row r="10" spans="1:178" s="49" customFormat="1" x14ac:dyDescent="0.25">
      <c r="A10" s="98"/>
      <c r="B10" s="50" t="s">
        <v>376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105"/>
      <c r="BH10" s="105"/>
      <c r="BI10" s="105"/>
      <c r="BJ10" s="105"/>
      <c r="BK10" s="105"/>
      <c r="BL10" s="105"/>
      <c r="BM10" s="105"/>
      <c r="BN10" s="105"/>
      <c r="BO10" s="105"/>
      <c r="BP10" s="105"/>
      <c r="BQ10" s="105"/>
      <c r="BR10" s="105"/>
      <c r="BS10" s="105"/>
      <c r="BT10" s="105"/>
      <c r="BU10" s="105"/>
      <c r="BV10" s="105"/>
      <c r="BW10" s="105"/>
      <c r="BX10" s="105"/>
      <c r="BY10" s="105"/>
      <c r="BZ10" s="105"/>
      <c r="CA10" s="105"/>
      <c r="CB10" s="105"/>
      <c r="CC10" s="105"/>
      <c r="CD10" s="105"/>
      <c r="CE10" s="105"/>
      <c r="CF10" s="105"/>
      <c r="CG10" s="105"/>
      <c r="CH10" s="105"/>
      <c r="CI10" s="105"/>
      <c r="CJ10" s="104"/>
      <c r="CK10" s="104"/>
      <c r="CL10" s="104"/>
      <c r="CM10" s="104"/>
      <c r="CN10" s="104"/>
      <c r="CO10" s="104"/>
      <c r="CP10" s="104"/>
      <c r="CQ10" s="104"/>
      <c r="CR10" s="104"/>
      <c r="CS10" s="104"/>
      <c r="CT10" s="52"/>
      <c r="CU10" s="52"/>
      <c r="CV10" s="52"/>
      <c r="CW10" s="52"/>
      <c r="CX10" s="52"/>
      <c r="CY10" s="52"/>
      <c r="CZ10" s="52"/>
      <c r="DA10" s="52"/>
      <c r="DB10" s="52">
        <v>871.2</v>
      </c>
      <c r="DC10" s="52">
        <v>810.1</v>
      </c>
      <c r="DD10" s="52">
        <v>148.9</v>
      </c>
      <c r="DE10" s="52">
        <v>217.1</v>
      </c>
      <c r="DF10" s="52">
        <v>1063.0999999999999</v>
      </c>
      <c r="DG10" s="52">
        <v>1469.8</v>
      </c>
      <c r="DH10" s="52">
        <v>129.1</v>
      </c>
      <c r="DI10" s="52">
        <v>386.6</v>
      </c>
      <c r="DJ10" s="52">
        <v>38</v>
      </c>
      <c r="DK10" s="52">
        <v>0</v>
      </c>
      <c r="DL10" s="52">
        <v>0</v>
      </c>
      <c r="DM10" s="52">
        <v>0</v>
      </c>
      <c r="DN10" s="52">
        <v>0</v>
      </c>
      <c r="DO10" s="52">
        <v>0</v>
      </c>
      <c r="DP10" s="52">
        <v>0</v>
      </c>
      <c r="DQ10" s="105"/>
      <c r="DR10" s="105"/>
      <c r="DS10" s="105"/>
      <c r="DT10" s="105"/>
      <c r="DU10" s="105"/>
      <c r="DV10" s="105"/>
      <c r="DX10" s="98"/>
      <c r="DY10" s="98"/>
      <c r="DZ10" s="98"/>
      <c r="EA10" s="98"/>
      <c r="EB10" s="98"/>
      <c r="EC10" s="98"/>
      <c r="ED10" s="98"/>
      <c r="EE10" s="98"/>
      <c r="EF10" s="98"/>
      <c r="EG10" s="98"/>
      <c r="EH10" s="98"/>
      <c r="EI10" s="98"/>
      <c r="EJ10" s="98"/>
      <c r="EK10" s="98"/>
      <c r="EL10" s="98"/>
      <c r="EM10" s="98"/>
      <c r="EN10" s="97"/>
      <c r="EO10" s="101"/>
      <c r="EP10" s="101"/>
      <c r="EQ10" s="101"/>
      <c r="ER10" s="101"/>
      <c r="ES10" s="101"/>
      <c r="ET10" s="101"/>
      <c r="EU10" s="101"/>
      <c r="EV10" s="101"/>
      <c r="EW10" s="97"/>
      <c r="EX10" s="97"/>
      <c r="EY10" s="97"/>
      <c r="EZ10" s="97"/>
      <c r="FA10" s="97"/>
      <c r="FB10" s="97"/>
      <c r="FC10" s="97"/>
      <c r="FD10" s="97"/>
      <c r="FE10" s="98"/>
      <c r="FF10" s="98"/>
      <c r="FG10" s="49">
        <f t="shared" ref="FG10:FG44" si="15">SUM(CY10:DB10)</f>
        <v>871.2</v>
      </c>
      <c r="FH10" s="49">
        <f t="shared" ref="FH10:FH44" si="16">SUM(DC10:DF10)</f>
        <v>2239.1999999999998</v>
      </c>
      <c r="FI10" s="49">
        <f t="shared" si="9"/>
        <v>2023.5</v>
      </c>
      <c r="FJ10" s="98"/>
      <c r="FK10" s="98"/>
      <c r="FL10" s="98"/>
      <c r="FM10" s="98"/>
      <c r="FN10" s="98"/>
      <c r="FO10" s="98"/>
      <c r="FP10" s="98"/>
      <c r="FQ10" s="98"/>
    </row>
    <row r="11" spans="1:178" x14ac:dyDescent="0.25">
      <c r="A11" s="102"/>
      <c r="B11" s="38" t="s">
        <v>372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105"/>
      <c r="BW11" s="105"/>
      <c r="BX11" s="105"/>
      <c r="BY11" s="105"/>
      <c r="BZ11" s="105"/>
      <c r="CA11" s="105"/>
      <c r="CB11" s="105"/>
      <c r="CC11" s="105"/>
      <c r="CD11" s="105"/>
      <c r="CE11" s="105"/>
      <c r="CF11" s="105"/>
      <c r="CG11" s="105"/>
      <c r="CH11" s="105"/>
      <c r="CI11" s="52"/>
      <c r="CJ11" s="52">
        <v>19.3</v>
      </c>
      <c r="CK11" s="52">
        <v>32.5</v>
      </c>
      <c r="CL11" s="52">
        <v>61.3</v>
      </c>
      <c r="CM11" s="52">
        <v>96.6</v>
      </c>
      <c r="CN11" s="52">
        <v>138.69999999999999</v>
      </c>
      <c r="CO11" s="52">
        <v>151.30000000000001</v>
      </c>
      <c r="CP11" s="52">
        <v>172.5</v>
      </c>
      <c r="CQ11" s="52">
        <v>146.5</v>
      </c>
      <c r="CR11" s="52">
        <v>220.1</v>
      </c>
      <c r="CS11" s="52">
        <v>263.89999999999998</v>
      </c>
      <c r="CT11" s="52">
        <v>307</v>
      </c>
      <c r="CU11" s="52">
        <v>252.5</v>
      </c>
      <c r="CV11" s="52">
        <v>353.8</v>
      </c>
      <c r="CW11" s="52">
        <v>340</v>
      </c>
      <c r="CX11" s="52">
        <v>420.1</v>
      </c>
      <c r="CY11" s="52">
        <v>443.5</v>
      </c>
      <c r="CZ11" s="52">
        <v>395.2</v>
      </c>
      <c r="DA11" s="52">
        <v>454.5</v>
      </c>
      <c r="DB11" s="52">
        <v>495.3</v>
      </c>
      <c r="DC11" s="52">
        <v>403.2</v>
      </c>
      <c r="DD11" s="52">
        <v>569.1</v>
      </c>
      <c r="DE11" s="52">
        <v>593.1</v>
      </c>
      <c r="DF11" s="52">
        <v>647.4</v>
      </c>
      <c r="DG11" s="52">
        <v>488.1</v>
      </c>
      <c r="DH11" s="52">
        <v>606.20000000000005</v>
      </c>
      <c r="DI11" s="52">
        <v>679.9</v>
      </c>
      <c r="DJ11" s="52">
        <v>707.8</v>
      </c>
      <c r="DK11" s="52">
        <v>527</v>
      </c>
      <c r="DL11" s="52">
        <v>703.9</v>
      </c>
      <c r="DM11" s="52">
        <v>744.2</v>
      </c>
      <c r="DN11" s="52">
        <v>784.6</v>
      </c>
      <c r="DO11" s="52">
        <v>604.1</v>
      </c>
      <c r="DP11" s="52">
        <v>824.7</v>
      </c>
      <c r="DQ11" s="52">
        <v>879.6</v>
      </c>
      <c r="DR11" s="52">
        <v>952</v>
      </c>
      <c r="DS11" s="52">
        <v>761.9</v>
      </c>
      <c r="DT11" s="52">
        <f>+DP11*1.2</f>
        <v>989.64</v>
      </c>
      <c r="DU11" s="52">
        <f>+DQ11*1.2</f>
        <v>1055.52</v>
      </c>
      <c r="DV11" s="52">
        <f>+DR11*1.2</f>
        <v>1142.3999999999999</v>
      </c>
      <c r="DW11" s="49"/>
      <c r="DX11" s="98"/>
      <c r="DY11" s="98"/>
      <c r="DZ11" s="98"/>
      <c r="EA11" s="98"/>
      <c r="EB11" s="98"/>
      <c r="EC11" s="98"/>
      <c r="ED11" s="98"/>
      <c r="EE11" s="98"/>
      <c r="EF11" s="98"/>
      <c r="EG11" s="98"/>
      <c r="EH11" s="98"/>
      <c r="EI11" s="98"/>
      <c r="EJ11" s="98"/>
      <c r="EK11" s="98"/>
      <c r="EL11" s="98"/>
      <c r="EM11" s="98"/>
      <c r="EN11" s="97"/>
      <c r="EO11" s="101"/>
      <c r="EP11" s="101"/>
      <c r="EQ11" s="101"/>
      <c r="ER11" s="101"/>
      <c r="ES11" s="101"/>
      <c r="ET11" s="101"/>
      <c r="EU11" s="101"/>
      <c r="EV11" s="101"/>
      <c r="EW11" s="97"/>
      <c r="EX11" s="97"/>
      <c r="EY11" s="97"/>
      <c r="EZ11" s="97"/>
      <c r="FA11" s="97"/>
      <c r="FB11" s="97"/>
      <c r="FC11" s="51">
        <f>SUM(CI11:CL11)</f>
        <v>113.1</v>
      </c>
      <c r="FD11" s="51">
        <f t="shared" ref="FD11:FD19" si="17">SUM(CM11:CP11)</f>
        <v>559.1</v>
      </c>
      <c r="FE11" s="49">
        <f t="shared" ref="FE11:FE23" si="18">SUM(CQ11:CT11)</f>
        <v>937.5</v>
      </c>
      <c r="FF11" s="49">
        <f t="shared" ref="FF11:FF44" si="19">SUM(CU11:CX11)</f>
        <v>1366.4</v>
      </c>
      <c r="FG11" s="49">
        <f t="shared" si="15"/>
        <v>1788.5</v>
      </c>
      <c r="FH11" s="49">
        <f t="shared" si="16"/>
        <v>2212.8000000000002</v>
      </c>
      <c r="FI11" s="49">
        <f t="shared" si="9"/>
        <v>2482</v>
      </c>
      <c r="FJ11" s="49">
        <f t="shared" si="10"/>
        <v>2759.7000000000003</v>
      </c>
      <c r="FK11" s="49">
        <f>SUM(Model!DO11:DR11)</f>
        <v>3260.4</v>
      </c>
      <c r="FL11" s="49">
        <f t="shared" ref="FL11:FL36" si="20">SUM(DS11:DV11)</f>
        <v>3949.46</v>
      </c>
      <c r="FM11" s="49">
        <f>+FL11*1.2</f>
        <v>4739.3519999999999</v>
      </c>
      <c r="FN11" s="49">
        <f>+FM11*1.1</f>
        <v>5213.2872000000007</v>
      </c>
      <c r="FO11" s="49">
        <f>+FN11*1.1</f>
        <v>5734.6159200000011</v>
      </c>
      <c r="FP11" s="49">
        <f>+FO11*1.1</f>
        <v>6308.0775120000017</v>
      </c>
      <c r="FQ11" s="49">
        <f>+FP11*1.05</f>
        <v>6623.4813876000017</v>
      </c>
      <c r="FR11" s="49">
        <f t="shared" ref="FR11:FV11" si="21">+FQ11*1.05</f>
        <v>6954.6554569800019</v>
      </c>
      <c r="FS11" s="49">
        <f t="shared" si="21"/>
        <v>7302.3882298290018</v>
      </c>
      <c r="FT11" s="49">
        <f t="shared" si="21"/>
        <v>7667.5076413204524</v>
      </c>
      <c r="FU11" s="49">
        <f t="shared" si="21"/>
        <v>8050.8830233864755</v>
      </c>
      <c r="FV11" s="49">
        <f t="shared" si="21"/>
        <v>8453.4271745557999</v>
      </c>
    </row>
    <row r="12" spans="1:178" x14ac:dyDescent="0.25">
      <c r="A12" s="102"/>
      <c r="B12" s="38" t="s">
        <v>369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7"/>
      <c r="CM12" s="97"/>
      <c r="CN12" s="97"/>
      <c r="CO12" s="51"/>
      <c r="CP12" s="51">
        <v>21</v>
      </c>
      <c r="CQ12" s="51">
        <v>29.7</v>
      </c>
      <c r="CR12" s="51">
        <v>57.7</v>
      </c>
      <c r="CS12" s="51">
        <v>84.5</v>
      </c>
      <c r="CT12" s="51">
        <v>83.1</v>
      </c>
      <c r="CU12" s="51">
        <v>109.4</v>
      </c>
      <c r="CV12" s="51">
        <v>133.9</v>
      </c>
      <c r="CW12" s="51">
        <v>157.19999999999999</v>
      </c>
      <c r="CX12" s="51">
        <v>179.1</v>
      </c>
      <c r="CY12" s="51">
        <v>188</v>
      </c>
      <c r="CZ12" s="51">
        <v>208.6</v>
      </c>
      <c r="DA12" s="51">
        <v>234.4</v>
      </c>
      <c r="DB12" s="51">
        <v>281.60000000000002</v>
      </c>
      <c r="DC12" s="51">
        <v>269</v>
      </c>
      <c r="DD12" s="51">
        <v>341.3</v>
      </c>
      <c r="DE12" s="51">
        <v>335.5</v>
      </c>
      <c r="DF12" s="51">
        <v>404.1</v>
      </c>
      <c r="DG12" s="51">
        <v>469.4</v>
      </c>
      <c r="DH12" s="51">
        <v>588.5</v>
      </c>
      <c r="DI12" s="51">
        <v>617.70000000000005</v>
      </c>
      <c r="DJ12" s="51">
        <v>808</v>
      </c>
      <c r="DK12" s="51">
        <v>750.9</v>
      </c>
      <c r="DL12" s="51">
        <v>926.8</v>
      </c>
      <c r="DM12" s="51">
        <v>1040.2</v>
      </c>
      <c r="DN12" s="51">
        <v>1145.4000000000001</v>
      </c>
      <c r="DO12" s="51">
        <v>1050.3</v>
      </c>
      <c r="DP12" s="51">
        <v>1331.9</v>
      </c>
      <c r="DQ12" s="51">
        <v>1369.3</v>
      </c>
      <c r="DR12" s="51">
        <v>1555.2</v>
      </c>
      <c r="DS12" s="51">
        <v>1158.9000000000001</v>
      </c>
      <c r="DT12" s="51">
        <f>+DP12*1.1</f>
        <v>1465.0900000000001</v>
      </c>
      <c r="DU12" s="51">
        <f>+DQ12*1.1</f>
        <v>1506.23</v>
      </c>
      <c r="DV12" s="51">
        <f>+DR12*1.1</f>
        <v>1710.7200000000003</v>
      </c>
      <c r="DW12" s="49"/>
      <c r="DX12" s="98"/>
      <c r="DY12" s="98"/>
      <c r="DZ12" s="98"/>
      <c r="EA12" s="98"/>
      <c r="EB12" s="98"/>
      <c r="EC12" s="98"/>
      <c r="ED12" s="98"/>
      <c r="EE12" s="98"/>
      <c r="EF12" s="98"/>
      <c r="EG12" s="98"/>
      <c r="EH12" s="98"/>
      <c r="EI12" s="98"/>
      <c r="EJ12" s="98"/>
      <c r="EK12" s="98"/>
      <c r="EL12" s="98"/>
      <c r="EM12" s="98"/>
      <c r="EN12" s="97"/>
      <c r="EO12" s="101"/>
      <c r="EP12" s="101"/>
      <c r="EQ12" s="101"/>
      <c r="ER12" s="101"/>
      <c r="ES12" s="101"/>
      <c r="ET12" s="101"/>
      <c r="EU12" s="101"/>
      <c r="EV12" s="101"/>
      <c r="EW12" s="97"/>
      <c r="EX12" s="97"/>
      <c r="EY12" s="97"/>
      <c r="EZ12" s="97"/>
      <c r="FA12" s="97"/>
      <c r="FB12" s="97"/>
      <c r="FC12" s="97"/>
      <c r="FD12" s="51">
        <f t="shared" si="17"/>
        <v>21</v>
      </c>
      <c r="FE12" s="49">
        <f t="shared" si="18"/>
        <v>255</v>
      </c>
      <c r="FF12" s="49">
        <f t="shared" si="19"/>
        <v>579.6</v>
      </c>
      <c r="FG12" s="49">
        <f t="shared" si="15"/>
        <v>912.6</v>
      </c>
      <c r="FH12" s="49">
        <f t="shared" si="16"/>
        <v>1349.9</v>
      </c>
      <c r="FI12" s="49">
        <f t="shared" si="9"/>
        <v>2483.6000000000004</v>
      </c>
      <c r="FJ12" s="49">
        <f t="shared" si="10"/>
        <v>3863.2999999999997</v>
      </c>
      <c r="FK12" s="49">
        <f>SUM(Model!DO12:DR12)</f>
        <v>5306.7</v>
      </c>
      <c r="FL12" s="49">
        <f t="shared" si="20"/>
        <v>5840.9400000000005</v>
      </c>
      <c r="FM12" s="49">
        <f>+FL12*1.01</f>
        <v>5899.349400000001</v>
      </c>
      <c r="FN12" s="49">
        <f>+FM12*1.01</f>
        <v>5958.3428940000013</v>
      </c>
      <c r="FO12" s="49">
        <f>+FN12*1.01</f>
        <v>6017.9263229400012</v>
      </c>
      <c r="FP12" s="49">
        <f>+FO12*1.01</f>
        <v>6078.1055861694012</v>
      </c>
      <c r="FQ12" s="49">
        <f>+FP12*0.1</f>
        <v>607.81055861694017</v>
      </c>
      <c r="FR12" s="49">
        <f t="shared" ref="FR12:FV12" si="22">+FQ12*0.1</f>
        <v>60.781055861694021</v>
      </c>
      <c r="FS12" s="49">
        <f t="shared" si="22"/>
        <v>6.0781055861694027</v>
      </c>
      <c r="FT12" s="49">
        <f t="shared" si="22"/>
        <v>0.60781055861694033</v>
      </c>
      <c r="FU12" s="49">
        <f t="shared" si="22"/>
        <v>6.0781055861694036E-2</v>
      </c>
      <c r="FV12" s="49">
        <f t="shared" si="22"/>
        <v>6.0781055861694041E-3</v>
      </c>
    </row>
    <row r="13" spans="1:178" x14ac:dyDescent="0.25">
      <c r="A13" s="102"/>
      <c r="B13" s="50" t="s">
        <v>998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7"/>
      <c r="CM13" s="97"/>
      <c r="CN13" s="97"/>
      <c r="CO13" s="97"/>
      <c r="CP13" s="97"/>
      <c r="CQ13" s="97"/>
      <c r="CR13" s="97"/>
      <c r="CS13" s="97"/>
      <c r="CT13" s="97"/>
      <c r="CU13" s="97"/>
      <c r="CV13" s="97"/>
      <c r="CW13" s="97"/>
      <c r="CX13" s="97"/>
      <c r="CY13" s="97"/>
      <c r="CZ13" s="97"/>
      <c r="DA13" s="97"/>
      <c r="DB13" s="97"/>
      <c r="DC13" s="97"/>
      <c r="DD13" s="97"/>
      <c r="DE13" s="97"/>
      <c r="DF13" s="97"/>
      <c r="DG13" s="97"/>
      <c r="DH13" s="97"/>
      <c r="DI13" s="97"/>
      <c r="DJ13" s="97"/>
      <c r="DK13" s="97"/>
      <c r="DL13" s="97"/>
      <c r="DM13" s="97"/>
      <c r="DN13" s="97"/>
      <c r="DO13" s="97"/>
      <c r="DP13" s="97"/>
      <c r="DQ13" s="97"/>
      <c r="DR13" s="97"/>
      <c r="DS13" s="97"/>
      <c r="DT13" s="97"/>
      <c r="DU13" s="97"/>
      <c r="DV13" s="97"/>
      <c r="DW13" s="49"/>
      <c r="DX13" s="98"/>
      <c r="DY13" s="98"/>
      <c r="DZ13" s="98"/>
      <c r="EA13" s="98"/>
      <c r="EB13" s="98"/>
      <c r="EC13" s="98"/>
      <c r="ED13" s="98"/>
      <c r="EE13" s="98"/>
      <c r="EF13" s="98"/>
      <c r="EG13" s="98"/>
      <c r="EH13" s="98"/>
      <c r="EI13" s="98"/>
      <c r="EJ13" s="98"/>
      <c r="EK13" s="98"/>
      <c r="EL13" s="98"/>
      <c r="EM13" s="98"/>
      <c r="EN13" s="97"/>
      <c r="EO13" s="101"/>
      <c r="EP13" s="101"/>
      <c r="EQ13" s="101"/>
      <c r="ER13" s="101"/>
      <c r="ES13" s="101"/>
      <c r="ET13" s="101"/>
      <c r="EU13" s="101"/>
      <c r="EV13" s="101"/>
      <c r="EW13" s="97"/>
      <c r="EX13" s="97"/>
      <c r="EY13" s="97"/>
      <c r="EZ13" s="97"/>
      <c r="FA13" s="97"/>
      <c r="FB13" s="97"/>
      <c r="FC13" s="97"/>
      <c r="FD13" s="51"/>
      <c r="FE13" s="49"/>
      <c r="FF13" s="49"/>
      <c r="FG13" s="49"/>
      <c r="FH13" s="49"/>
      <c r="FI13" s="49"/>
      <c r="FJ13" s="49"/>
      <c r="FK13" s="49"/>
      <c r="FL13" s="49"/>
      <c r="FM13" s="49">
        <v>200</v>
      </c>
      <c r="FN13" s="49">
        <v>300</v>
      </c>
      <c r="FO13" s="49">
        <f t="shared" ref="FO13:FU13" si="23">+FN13+100</f>
        <v>400</v>
      </c>
      <c r="FP13" s="49">
        <f t="shared" si="23"/>
        <v>500</v>
      </c>
      <c r="FQ13" s="49">
        <f t="shared" si="23"/>
        <v>600</v>
      </c>
      <c r="FR13" s="49">
        <f t="shared" si="23"/>
        <v>700</v>
      </c>
      <c r="FS13" s="49">
        <f t="shared" si="23"/>
        <v>800</v>
      </c>
      <c r="FT13" s="49">
        <f t="shared" si="23"/>
        <v>900</v>
      </c>
      <c r="FU13" s="49">
        <f t="shared" si="23"/>
        <v>1000</v>
      </c>
      <c r="FV13" s="49">
        <f>+FU13*0.1</f>
        <v>100</v>
      </c>
    </row>
    <row r="14" spans="1:178" x14ac:dyDescent="0.25">
      <c r="A14" s="102"/>
      <c r="B14" s="38" t="s">
        <v>368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51"/>
      <c r="CB14" s="51"/>
      <c r="CC14" s="51"/>
      <c r="CD14" s="51"/>
      <c r="CE14" s="51">
        <v>19.3</v>
      </c>
      <c r="CF14" s="51">
        <v>11.1</v>
      </c>
      <c r="CG14" s="51">
        <v>15.4</v>
      </c>
      <c r="CH14" s="51">
        <v>14.6</v>
      </c>
      <c r="CI14" s="51">
        <v>38.200000000000003</v>
      </c>
      <c r="CJ14" s="51">
        <v>40.1</v>
      </c>
      <c r="CK14" s="51">
        <v>47.5</v>
      </c>
      <c r="CL14" s="51">
        <v>76.099999999999994</v>
      </c>
      <c r="CM14" s="51">
        <v>74</v>
      </c>
      <c r="CN14" s="51">
        <v>103.2</v>
      </c>
      <c r="CO14" s="51">
        <v>127.2</v>
      </c>
      <c r="CP14" s="51">
        <v>143.19999999999999</v>
      </c>
      <c r="CQ14" s="51">
        <v>151</v>
      </c>
      <c r="CR14" s="51">
        <v>147.19999999999999</v>
      </c>
      <c r="CS14" s="51">
        <v>166.9</v>
      </c>
      <c r="CT14" s="51">
        <v>193.2</v>
      </c>
      <c r="CU14" s="51">
        <v>203.6</v>
      </c>
      <c r="CV14" s="51">
        <v>231.9</v>
      </c>
      <c r="CW14" s="51">
        <v>240.7</v>
      </c>
      <c r="CX14" s="51">
        <v>268</v>
      </c>
      <c r="CY14" s="51">
        <v>267.5</v>
      </c>
      <c r="CZ14" s="51">
        <v>262</v>
      </c>
      <c r="DA14" s="51">
        <v>310.8</v>
      </c>
      <c r="DB14" s="51">
        <v>313.60000000000002</v>
      </c>
      <c r="DC14" s="51">
        <v>312</v>
      </c>
      <c r="DD14" s="51">
        <v>356.5</v>
      </c>
      <c r="DE14" s="51">
        <v>390.4</v>
      </c>
      <c r="DF14" s="51">
        <v>431.9</v>
      </c>
      <c r="DG14" s="51">
        <v>419.4</v>
      </c>
      <c r="DH14" s="51">
        <v>461</v>
      </c>
      <c r="DI14" s="51">
        <v>573.29999999999995</v>
      </c>
      <c r="DJ14" s="51">
        <v>612.29999999999995</v>
      </c>
      <c r="DK14" s="51">
        <v>577.5</v>
      </c>
      <c r="DL14" s="51">
        <v>668.3</v>
      </c>
      <c r="DM14" s="51">
        <v>700.8</v>
      </c>
      <c r="DN14" s="51">
        <v>798.1</v>
      </c>
      <c r="DO14" s="51">
        <v>686.5</v>
      </c>
      <c r="DP14" s="51">
        <v>769.6</v>
      </c>
      <c r="DQ14" s="51">
        <v>686.4</v>
      </c>
      <c r="DR14" s="51">
        <v>1198.4000000000001</v>
      </c>
      <c r="DS14" s="51">
        <v>1014.4</v>
      </c>
      <c r="DT14" s="51">
        <f t="shared" ref="DT14:DV14" si="24">+DS14+20</f>
        <v>1034.4000000000001</v>
      </c>
      <c r="DU14" s="51">
        <f t="shared" si="24"/>
        <v>1054.4000000000001</v>
      </c>
      <c r="DV14" s="51">
        <f t="shared" si="24"/>
        <v>1074.4000000000001</v>
      </c>
      <c r="DW14" s="49"/>
      <c r="DX14" s="98"/>
      <c r="DY14" s="98"/>
      <c r="DZ14" s="98"/>
      <c r="EA14" s="98"/>
      <c r="EB14" s="98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7"/>
      <c r="EO14" s="101"/>
      <c r="EP14" s="101"/>
      <c r="EQ14" s="101"/>
      <c r="ER14" s="101"/>
      <c r="ES14" s="101"/>
      <c r="ET14" s="101"/>
      <c r="EU14" s="101"/>
      <c r="EV14" s="101"/>
      <c r="EW14" s="97"/>
      <c r="EX14" s="97"/>
      <c r="EY14" s="97"/>
      <c r="EZ14" s="97"/>
      <c r="FA14" s="97"/>
      <c r="FB14" s="51">
        <f>SUM(CE14:CH14)</f>
        <v>60.4</v>
      </c>
      <c r="FC14" s="51">
        <f>SUM(CI14:CL14)</f>
        <v>201.9</v>
      </c>
      <c r="FD14" s="51">
        <f t="shared" si="17"/>
        <v>447.59999999999997</v>
      </c>
      <c r="FE14" s="49">
        <f t="shared" si="18"/>
        <v>658.3</v>
      </c>
      <c r="FF14" s="49">
        <f t="shared" si="19"/>
        <v>944.2</v>
      </c>
      <c r="FG14" s="49">
        <f t="shared" si="15"/>
        <v>1153.9000000000001</v>
      </c>
      <c r="FH14" s="49">
        <f t="shared" si="16"/>
        <v>1490.8000000000002</v>
      </c>
      <c r="FI14" s="49">
        <f t="shared" si="9"/>
        <v>2066</v>
      </c>
      <c r="FJ14" s="49">
        <f t="shared" si="10"/>
        <v>2744.7</v>
      </c>
      <c r="FK14" s="49">
        <f>SUM(Model!DO14:DR14)</f>
        <v>3340.9</v>
      </c>
      <c r="FL14" s="49">
        <f t="shared" si="20"/>
        <v>4177.6000000000004</v>
      </c>
      <c r="FM14" s="49">
        <f>+FL14*1.2</f>
        <v>5013.12</v>
      </c>
      <c r="FN14" s="49">
        <f>+FM14*1.1</f>
        <v>5514.4320000000007</v>
      </c>
      <c r="FO14" s="49">
        <f>+FN14*1.1</f>
        <v>6065.8752000000013</v>
      </c>
      <c r="FP14" s="49">
        <f>+FO14*1.1</f>
        <v>6672.4627200000023</v>
      </c>
      <c r="FQ14" s="49">
        <f>+FP14*0.1</f>
        <v>667.24627200000032</v>
      </c>
      <c r="FR14" s="49">
        <f t="shared" ref="FR14:FV14" si="25">+FQ14*0.1</f>
        <v>66.724627200000029</v>
      </c>
      <c r="FS14" s="49">
        <f t="shared" si="25"/>
        <v>6.6724627200000031</v>
      </c>
      <c r="FT14" s="49">
        <f t="shared" si="25"/>
        <v>0.66724627200000031</v>
      </c>
      <c r="FU14" s="49">
        <f t="shared" si="25"/>
        <v>6.6724627200000039E-2</v>
      </c>
      <c r="FV14" s="49">
        <f t="shared" si="25"/>
        <v>6.6724627200000046E-3</v>
      </c>
    </row>
    <row r="15" spans="1:178" x14ac:dyDescent="0.25">
      <c r="A15" s="102"/>
      <c r="B15" t="s">
        <v>54</v>
      </c>
      <c r="C15" s="51"/>
      <c r="D15" s="51"/>
      <c r="E15" s="51"/>
      <c r="F15" s="51"/>
      <c r="G15" s="51"/>
      <c r="H15" s="51"/>
      <c r="I15" s="51">
        <v>1</v>
      </c>
      <c r="J15" s="51">
        <v>2</v>
      </c>
      <c r="K15" s="51">
        <v>3</v>
      </c>
      <c r="L15" s="51">
        <v>5</v>
      </c>
      <c r="M15" s="51">
        <v>10</v>
      </c>
      <c r="N15" s="51">
        <v>15</v>
      </c>
      <c r="O15" s="51">
        <v>25</v>
      </c>
      <c r="P15" s="51">
        <v>30</v>
      </c>
      <c r="Q15" s="51">
        <v>32</v>
      </c>
      <c r="R15" s="51">
        <f>129.6-Q15-P15-O15</f>
        <v>42.599999999999994</v>
      </c>
      <c r="S15" s="51">
        <v>42.5</v>
      </c>
      <c r="T15" s="51">
        <v>50.4</v>
      </c>
      <c r="U15" s="51">
        <v>58.7</v>
      </c>
      <c r="V15" s="51">
        <f>224.5-U15-T15-S15</f>
        <v>72.900000000000006</v>
      </c>
      <c r="W15" s="51">
        <v>72.099999999999994</v>
      </c>
      <c r="X15" s="51">
        <v>76.7</v>
      </c>
      <c r="Y15" s="51">
        <v>90.6</v>
      </c>
      <c r="Z15" s="51">
        <f>350.2-Y15-X15-W15</f>
        <v>110.80000000000004</v>
      </c>
      <c r="AA15" s="51">
        <v>125.2</v>
      </c>
      <c r="AB15" s="51">
        <v>145.6</v>
      </c>
      <c r="AC15" s="51">
        <v>164.3</v>
      </c>
      <c r="AD15" s="51">
        <f>627.8-AC15-AB15-AA15</f>
        <v>192.7</v>
      </c>
      <c r="AE15" s="51">
        <v>177.4</v>
      </c>
      <c r="AF15" s="51">
        <v>204.8</v>
      </c>
      <c r="AG15" s="51">
        <v>214.1</v>
      </c>
      <c r="AH15" s="51">
        <f>834.2-AG15-AF15-AE15</f>
        <v>237.9</v>
      </c>
      <c r="AI15" s="51">
        <v>248.8</v>
      </c>
      <c r="AJ15" s="51">
        <v>254.1</v>
      </c>
      <c r="AK15" s="51">
        <v>240.2</v>
      </c>
      <c r="AL15" s="51">
        <f>1020-AK15-AJ15-AI15</f>
        <v>276.89999999999992</v>
      </c>
      <c r="AM15" s="51">
        <v>267.2</v>
      </c>
      <c r="AN15" s="51">
        <v>285.3</v>
      </c>
      <c r="AO15" s="51">
        <v>264.60000000000002</v>
      </c>
      <c r="AP15" s="51">
        <v>284.60000000000002</v>
      </c>
      <c r="AQ15" s="51">
        <v>286.2</v>
      </c>
      <c r="AR15" s="51">
        <v>296.2</v>
      </c>
      <c r="AS15" s="51">
        <f>AW15/1.05</f>
        <v>306.66666666666663</v>
      </c>
      <c r="AT15" s="51">
        <v>309.10000000000002</v>
      </c>
      <c r="AU15" s="51">
        <v>305</v>
      </c>
      <c r="AV15" s="51">
        <v>321</v>
      </c>
      <c r="AW15" s="51">
        <v>322</v>
      </c>
      <c r="AX15" s="51">
        <v>352.2</v>
      </c>
      <c r="AY15" s="51">
        <v>339.5</v>
      </c>
      <c r="AZ15" s="51">
        <v>358.4</v>
      </c>
      <c r="BA15" s="51">
        <v>362.5</v>
      </c>
      <c r="BB15" s="51">
        <v>414.2</v>
      </c>
      <c r="BC15" s="51">
        <v>407.4</v>
      </c>
      <c r="BD15" s="51">
        <v>437.9</v>
      </c>
      <c r="BE15" s="51">
        <v>432.6</v>
      </c>
      <c r="BF15" s="51">
        <v>457.9</v>
      </c>
      <c r="BG15" s="51">
        <v>450.6</v>
      </c>
      <c r="BH15" s="51">
        <v>477.5</v>
      </c>
      <c r="BI15" s="51">
        <v>500.2</v>
      </c>
      <c r="BJ15" s="51">
        <v>530.79999999999995</v>
      </c>
      <c r="BK15" s="51">
        <v>506.4</v>
      </c>
      <c r="BL15" s="51">
        <v>504.6</v>
      </c>
      <c r="BM15" s="51">
        <v>494</v>
      </c>
      <c r="BN15" s="51">
        <v>549.1</v>
      </c>
      <c r="BO15" s="51">
        <v>525.4</v>
      </c>
      <c r="BP15" s="51">
        <v>586.9</v>
      </c>
      <c r="BQ15" s="51">
        <v>593.20000000000005</v>
      </c>
      <c r="BR15" s="51">
        <v>662</v>
      </c>
      <c r="BS15" s="51">
        <v>590.29999999999995</v>
      </c>
      <c r="BT15" s="51">
        <v>613.4</v>
      </c>
      <c r="BU15" s="51">
        <v>575.79999999999995</v>
      </c>
      <c r="BV15" s="51">
        <v>616</v>
      </c>
      <c r="BW15" s="51">
        <v>632.70000000000005</v>
      </c>
      <c r="BX15" s="51">
        <v>628.6</v>
      </c>
      <c r="BY15" s="51">
        <v>616</v>
      </c>
      <c r="BZ15" s="51">
        <v>733.9</v>
      </c>
      <c r="CA15" s="51">
        <v>650</v>
      </c>
      <c r="CB15" s="51">
        <v>700.1</v>
      </c>
      <c r="CC15" s="51">
        <v>706.1</v>
      </c>
      <c r="CD15" s="51">
        <v>729.1</v>
      </c>
      <c r="CE15" s="51">
        <v>684</v>
      </c>
      <c r="CF15" s="51">
        <v>654.29999999999995</v>
      </c>
      <c r="CG15" s="51">
        <v>705</v>
      </c>
      <c r="CH15" s="51">
        <v>798.7</v>
      </c>
      <c r="CI15" s="51">
        <v>606.29999999999995</v>
      </c>
      <c r="CJ15" s="51">
        <v>701.9</v>
      </c>
      <c r="CK15" s="51">
        <v>640.79999999999995</v>
      </c>
      <c r="CL15" s="51">
        <v>819.8</v>
      </c>
      <c r="CM15" s="51">
        <v>708.4</v>
      </c>
      <c r="CN15" s="51">
        <v>678.4</v>
      </c>
      <c r="CO15" s="51">
        <v>696.2</v>
      </c>
      <c r="CP15" s="51">
        <v>782.2</v>
      </c>
      <c r="CQ15" s="51">
        <v>791.7</v>
      </c>
      <c r="CR15" s="51">
        <v>769.8</v>
      </c>
      <c r="CS15" s="51">
        <v>664.6</v>
      </c>
      <c r="CT15" s="51">
        <v>770.4</v>
      </c>
      <c r="CU15" s="51">
        <v>730.8</v>
      </c>
      <c r="CV15" s="51">
        <v>677.6</v>
      </c>
      <c r="CW15" s="51">
        <v>648.9</v>
      </c>
      <c r="CX15" s="51">
        <v>763.4</v>
      </c>
      <c r="CY15" s="51">
        <v>695.8</v>
      </c>
      <c r="CZ15" s="51">
        <v>555.1</v>
      </c>
      <c r="DA15" s="51">
        <v>656.9</v>
      </c>
      <c r="DB15" s="51">
        <v>718.1</v>
      </c>
      <c r="DC15" s="51">
        <f>332.7+284.4</f>
        <v>617.09999999999991</v>
      </c>
      <c r="DD15" s="51">
        <v>607.6</v>
      </c>
      <c r="DE15" s="51">
        <v>626.70000000000005</v>
      </c>
      <c r="DF15" s="51">
        <v>601.70000000000005</v>
      </c>
      <c r="DG15" s="51">
        <f>368.9+249.3</f>
        <v>618.20000000000005</v>
      </c>
      <c r="DH15" s="51">
        <v>447.1</v>
      </c>
      <c r="DI15" s="51">
        <v>447</v>
      </c>
      <c r="DJ15" s="51">
        <v>548.29999999999995</v>
      </c>
      <c r="DK15" s="51">
        <v>460.9</v>
      </c>
      <c r="DL15" s="51">
        <v>440.4</v>
      </c>
      <c r="DM15" s="51">
        <v>395.4</v>
      </c>
      <c r="DN15" s="51">
        <v>366.6</v>
      </c>
      <c r="DO15" s="51">
        <v>538.70000000000005</v>
      </c>
      <c r="DP15" s="51">
        <v>631.6</v>
      </c>
      <c r="DQ15" s="51">
        <v>534.6</v>
      </c>
      <c r="DR15" s="51">
        <f>+DQ15-5</f>
        <v>529.6</v>
      </c>
      <c r="DS15" s="51">
        <v>537.20000000000005</v>
      </c>
      <c r="DT15" s="51">
        <f>+DS15-5</f>
        <v>532.20000000000005</v>
      </c>
      <c r="DU15" s="51">
        <f>+DT15-5</f>
        <v>527.20000000000005</v>
      </c>
      <c r="DV15" s="51">
        <f>+DU15-5</f>
        <v>522.20000000000005</v>
      </c>
      <c r="DW15" s="49"/>
      <c r="DX15" s="98"/>
      <c r="DY15" s="98"/>
      <c r="DZ15" s="98"/>
      <c r="EA15" s="98"/>
      <c r="EB15" s="98"/>
      <c r="EC15" s="98"/>
      <c r="ED15" s="98"/>
      <c r="EE15" s="98"/>
      <c r="EF15" s="98"/>
      <c r="EG15" s="98"/>
      <c r="EH15" s="98"/>
      <c r="EI15" s="49"/>
      <c r="EJ15" s="49"/>
      <c r="EK15" s="49">
        <v>129.6</v>
      </c>
      <c r="EL15" s="49">
        <v>224.5</v>
      </c>
      <c r="EM15" s="49">
        <v>350.2</v>
      </c>
      <c r="EN15" s="51">
        <v>627.79999999999995</v>
      </c>
      <c r="EO15" s="51">
        <v>834.2</v>
      </c>
      <c r="EP15" s="51">
        <v>1021</v>
      </c>
      <c r="EQ15" s="51">
        <v>1101</v>
      </c>
      <c r="ER15" s="51">
        <v>1198</v>
      </c>
      <c r="ES15" s="51">
        <f>SUM(AU15:AX15)</f>
        <v>1300.2</v>
      </c>
      <c r="ET15" s="51">
        <f>SUM(AY15:BB15)</f>
        <v>1474.6000000000001</v>
      </c>
      <c r="EU15" s="51">
        <f>SUM(BC15:BF15)</f>
        <v>1735.8000000000002</v>
      </c>
      <c r="EV15" s="51">
        <f>SUM(BG15:BJ15)</f>
        <v>1959.1</v>
      </c>
      <c r="EW15" s="51">
        <f>SUM(BK15:BN15)</f>
        <v>2054.1</v>
      </c>
      <c r="EX15" s="51">
        <f>SUM(BO15:BR15)</f>
        <v>2367.5</v>
      </c>
      <c r="EY15" s="51">
        <f>SUM(BS15:BV15)</f>
        <v>2395.5</v>
      </c>
      <c r="EZ15" s="51">
        <v>2611.1999999999998</v>
      </c>
      <c r="FA15" s="51">
        <f>SUM(CA15:CD15)</f>
        <v>2785.2999999999997</v>
      </c>
      <c r="FB15" s="51">
        <f>SUM(CE15:CH15)</f>
        <v>2842</v>
      </c>
      <c r="FC15" s="51">
        <f>SUM(CI15:CL15)</f>
        <v>2768.7999999999997</v>
      </c>
      <c r="FD15" s="51">
        <f t="shared" si="17"/>
        <v>2865.2</v>
      </c>
      <c r="FE15" s="49">
        <f t="shared" si="18"/>
        <v>2996.5</v>
      </c>
      <c r="FF15" s="49">
        <f t="shared" si="19"/>
        <v>2820.7000000000003</v>
      </c>
      <c r="FG15" s="49">
        <f>SUM(CY15:DB15)</f>
        <v>2625.9</v>
      </c>
      <c r="FH15" s="49">
        <f t="shared" si="16"/>
        <v>2453.1</v>
      </c>
      <c r="FI15" s="49">
        <f t="shared" si="9"/>
        <v>2060.6000000000004</v>
      </c>
      <c r="FJ15" s="49">
        <f t="shared" si="10"/>
        <v>1663.2999999999997</v>
      </c>
      <c r="FK15" s="49">
        <f>SUM(Model!DO15:DR15)</f>
        <v>2234.5</v>
      </c>
      <c r="FL15" s="49">
        <f t="shared" si="20"/>
        <v>2118.8000000000002</v>
      </c>
      <c r="FM15" s="49">
        <f t="shared" ref="FM15:FQ15" si="26">+FL15*0.95</f>
        <v>2012.8600000000001</v>
      </c>
      <c r="FN15" s="49">
        <f t="shared" si="26"/>
        <v>1912.2170000000001</v>
      </c>
      <c r="FO15" s="49">
        <f t="shared" si="26"/>
        <v>1816.6061500000001</v>
      </c>
      <c r="FP15" s="49">
        <f t="shared" si="26"/>
        <v>1725.7758425</v>
      </c>
      <c r="FQ15" s="49">
        <f t="shared" si="26"/>
        <v>1639.4870503749999</v>
      </c>
      <c r="FR15" s="49">
        <f t="shared" ref="FR15" si="27">+FQ15*0.95</f>
        <v>1557.5126978562498</v>
      </c>
      <c r="FS15" s="49">
        <f t="shared" ref="FS15" si="28">+FR15*0.95</f>
        <v>1479.6370629634373</v>
      </c>
      <c r="FT15" s="49">
        <f t="shared" ref="FT15" si="29">+FS15*0.95</f>
        <v>1405.6552098152654</v>
      </c>
      <c r="FU15" s="49">
        <f t="shared" ref="FU15" si="30">+FT15*0.95</f>
        <v>1335.372449324502</v>
      </c>
      <c r="FV15" s="49">
        <f t="shared" ref="FV15" si="31">+FU15*0.95</f>
        <v>1268.6038268582768</v>
      </c>
    </row>
    <row r="16" spans="1:178" x14ac:dyDescent="0.25">
      <c r="A16" s="102"/>
      <c r="B16" t="s">
        <v>19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>
        <v>11.6</v>
      </c>
      <c r="AN16" s="51">
        <v>17.8</v>
      </c>
      <c r="AO16" s="51">
        <v>40</v>
      </c>
      <c r="AP16" s="51">
        <v>73.099999999999994</v>
      </c>
      <c r="AQ16" s="51">
        <v>93.9</v>
      </c>
      <c r="AR16" s="51">
        <v>111.2</v>
      </c>
      <c r="AS16" s="51">
        <v>122.3</v>
      </c>
      <c r="AT16" s="51">
        <v>135.80000000000001</v>
      </c>
      <c r="AU16" s="51">
        <v>130</v>
      </c>
      <c r="AV16" s="51">
        <v>153</v>
      </c>
      <c r="AW16" s="51">
        <v>157</v>
      </c>
      <c r="AX16" s="51">
        <v>171.4</v>
      </c>
      <c r="AY16" s="51">
        <v>187.8</v>
      </c>
      <c r="AZ16" s="51">
        <v>207.1</v>
      </c>
      <c r="BA16" s="51">
        <v>215</v>
      </c>
      <c r="BB16" s="51">
        <v>244.1</v>
      </c>
      <c r="BC16" s="51">
        <v>247.2</v>
      </c>
      <c r="BD16" s="51">
        <v>275</v>
      </c>
      <c r="BE16" s="51">
        <v>313.89999999999998</v>
      </c>
      <c r="BF16" s="51">
        <v>318.7</v>
      </c>
      <c r="BG16" s="51">
        <v>335.3</v>
      </c>
      <c r="BH16" s="51">
        <v>385.3</v>
      </c>
      <c r="BI16" s="51">
        <v>461.9</v>
      </c>
      <c r="BJ16" s="51">
        <v>523.6</v>
      </c>
      <c r="BK16" s="51">
        <v>527.4</v>
      </c>
      <c r="BL16" s="51">
        <v>551.79999999999995</v>
      </c>
      <c r="BM16" s="51">
        <v>560.29999999999995</v>
      </c>
      <c r="BN16" s="51">
        <v>569</v>
      </c>
      <c r="BO16" s="51">
        <v>579.9</v>
      </c>
      <c r="BP16" s="51">
        <v>613.4</v>
      </c>
      <c r="BQ16" s="51">
        <v>629.70000000000005</v>
      </c>
      <c r="BR16" s="51">
        <v>638.1</v>
      </c>
      <c r="BS16" s="51">
        <v>606.79999999999995</v>
      </c>
      <c r="BT16" s="51">
        <v>659.5</v>
      </c>
      <c r="BU16" s="51">
        <v>643.6</v>
      </c>
      <c r="BV16" s="51">
        <v>684.3</v>
      </c>
      <c r="BW16" s="51">
        <v>616.79999999999995</v>
      </c>
      <c r="BX16" s="51">
        <v>669.4</v>
      </c>
      <c r="BY16" s="51">
        <v>690.5</v>
      </c>
      <c r="BZ16" s="51">
        <v>726.2</v>
      </c>
      <c r="CA16" s="51">
        <v>632</v>
      </c>
      <c r="CB16" s="51">
        <v>711.6</v>
      </c>
      <c r="CC16" s="51">
        <v>723.4</v>
      </c>
      <c r="CD16" s="51">
        <v>725</v>
      </c>
      <c r="CE16" s="51">
        <v>573</v>
      </c>
      <c r="CF16" s="51">
        <v>664.3</v>
      </c>
      <c r="CG16" s="51">
        <v>628.5</v>
      </c>
      <c r="CH16" s="51">
        <v>627.20000000000005</v>
      </c>
      <c r="CI16" s="51">
        <v>564.20000000000005</v>
      </c>
      <c r="CJ16" s="51">
        <v>607.1</v>
      </c>
      <c r="CK16" s="51">
        <v>570.4</v>
      </c>
      <c r="CL16" s="51">
        <v>541.6</v>
      </c>
      <c r="CM16" s="51">
        <v>489.9</v>
      </c>
      <c r="CN16" s="51">
        <v>532.9</v>
      </c>
      <c r="CO16" s="51">
        <v>514.5</v>
      </c>
      <c r="CP16" s="51">
        <v>525.20000000000005</v>
      </c>
      <c r="CQ16" s="51">
        <v>499.6</v>
      </c>
      <c r="CR16" s="51">
        <v>555.9</v>
      </c>
      <c r="CS16" s="51">
        <v>520.5</v>
      </c>
      <c r="CT16" s="51">
        <v>556.9</v>
      </c>
      <c r="CU16" s="51">
        <v>499.2</v>
      </c>
      <c r="CV16" s="51">
        <v>577.79999999999995</v>
      </c>
      <c r="CW16" s="51">
        <v>508.2</v>
      </c>
      <c r="CX16" s="51">
        <v>530.70000000000005</v>
      </c>
      <c r="CY16" s="51">
        <v>560.1</v>
      </c>
      <c r="CZ16" s="51">
        <v>539.1</v>
      </c>
      <c r="DA16" s="51">
        <v>578</v>
      </c>
      <c r="DB16" s="51">
        <v>652.70000000000005</v>
      </c>
      <c r="DC16" s="51">
        <v>559</v>
      </c>
      <c r="DD16" s="51">
        <v>610.6</v>
      </c>
      <c r="DE16" s="51">
        <v>457</v>
      </c>
      <c r="DF16" s="51">
        <v>434.9</v>
      </c>
      <c r="DG16" s="51">
        <v>343.9</v>
      </c>
      <c r="DH16" s="51">
        <v>227.7</v>
      </c>
      <c r="DI16" s="51">
        <v>119.4</v>
      </c>
      <c r="DJ16" s="51">
        <v>236.6</v>
      </c>
      <c r="DK16" s="51">
        <v>58.2</v>
      </c>
      <c r="DL16" s="51">
        <v>60.9</v>
      </c>
      <c r="DM16" s="51">
        <v>53.5</v>
      </c>
      <c r="DN16" s="51">
        <v>44.9</v>
      </c>
      <c r="DO16" s="51">
        <v>69.5</v>
      </c>
      <c r="DP16" s="51">
        <v>33.9</v>
      </c>
      <c r="DQ16" s="51">
        <v>48</v>
      </c>
      <c r="DR16" s="51">
        <f>+DQ16-1</f>
        <v>47</v>
      </c>
      <c r="DS16" s="51">
        <v>28.2</v>
      </c>
      <c r="DT16" s="51">
        <f>+DS16-1</f>
        <v>27.2</v>
      </c>
      <c r="DU16" s="51">
        <f>+DT16-1</f>
        <v>26.2</v>
      </c>
      <c r="DV16" s="51">
        <f>+DU16-1</f>
        <v>25.2</v>
      </c>
      <c r="DW16" s="49"/>
      <c r="DX16" s="98"/>
      <c r="DY16" s="98"/>
      <c r="DZ16" s="98"/>
      <c r="EA16" s="98"/>
      <c r="EB16" s="98"/>
      <c r="EC16" s="98"/>
      <c r="ED16" s="98"/>
      <c r="EE16" s="98"/>
      <c r="EF16" s="98"/>
      <c r="EG16" s="98"/>
      <c r="EH16" s="98"/>
      <c r="EI16" s="98"/>
      <c r="EJ16" s="98"/>
      <c r="EK16" s="98"/>
      <c r="EL16" s="98"/>
      <c r="EM16" s="98"/>
      <c r="EN16" s="98"/>
      <c r="EO16" s="98"/>
      <c r="EP16" s="98"/>
      <c r="EQ16" s="51">
        <v>143</v>
      </c>
      <c r="ER16" s="51">
        <v>463</v>
      </c>
      <c r="ES16" s="51">
        <v>619</v>
      </c>
      <c r="ET16" s="51">
        <f>SUM(AY16:BB16)</f>
        <v>854</v>
      </c>
      <c r="EU16" s="51">
        <f>SUM(BC16:BF16)</f>
        <v>1154.8</v>
      </c>
      <c r="EV16" s="51">
        <f>SUM(BG16:BJ16)</f>
        <v>1706.1</v>
      </c>
      <c r="EW16" s="51">
        <f>SUM(BK16:BN16)</f>
        <v>2208.5</v>
      </c>
      <c r="EX16" s="51">
        <f>SUM(BO16:BR16)</f>
        <v>2461.1</v>
      </c>
      <c r="EY16" s="51">
        <f>SUM(BS16:BV16)</f>
        <v>2594.1999999999998</v>
      </c>
      <c r="EZ16" s="51">
        <v>2703</v>
      </c>
      <c r="FA16" s="51">
        <f>SUM(CA16:CD16)</f>
        <v>2792</v>
      </c>
      <c r="FB16" s="51">
        <f>SUM(CE16:CH16)</f>
        <v>2493</v>
      </c>
      <c r="FC16" s="51">
        <v>2283.3000000000002</v>
      </c>
      <c r="FD16" s="51">
        <f t="shared" si="17"/>
        <v>2062.5</v>
      </c>
      <c r="FE16" s="49">
        <f t="shared" si="18"/>
        <v>2132.9</v>
      </c>
      <c r="FF16" s="49">
        <f t="shared" si="19"/>
        <v>2115.9</v>
      </c>
      <c r="FG16" s="49">
        <f t="shared" si="15"/>
        <v>2329.9</v>
      </c>
      <c r="FH16" s="49">
        <f t="shared" si="16"/>
        <v>2061.5</v>
      </c>
      <c r="FI16" s="49">
        <f t="shared" si="9"/>
        <v>927.59999999999991</v>
      </c>
      <c r="FJ16" s="49">
        <f t="shared" si="10"/>
        <v>217.5</v>
      </c>
      <c r="FK16" s="49">
        <f>SUM(Model!DO16:DR16)</f>
        <v>198.4</v>
      </c>
      <c r="FL16" s="49">
        <f t="shared" si="20"/>
        <v>106.8</v>
      </c>
      <c r="FM16" s="49">
        <f t="shared" ref="FM16:FQ16" si="32">+FL16*0.5</f>
        <v>53.4</v>
      </c>
      <c r="FN16" s="49">
        <f t="shared" si="32"/>
        <v>26.7</v>
      </c>
      <c r="FO16" s="49">
        <f t="shared" si="32"/>
        <v>13.35</v>
      </c>
      <c r="FP16" s="49">
        <f t="shared" si="32"/>
        <v>6.6749999999999998</v>
      </c>
      <c r="FQ16" s="49">
        <f t="shared" si="32"/>
        <v>3.3374999999999999</v>
      </c>
      <c r="FR16" s="49">
        <f t="shared" ref="FR16" si="33">+FQ16*0.5</f>
        <v>1.66875</v>
      </c>
      <c r="FS16" s="49">
        <f t="shared" ref="FS16" si="34">+FR16*0.5</f>
        <v>0.83437499999999998</v>
      </c>
      <c r="FT16" s="49">
        <f t="shared" ref="FT16" si="35">+FS16*0.5</f>
        <v>0.41718749999999999</v>
      </c>
      <c r="FU16" s="49">
        <f t="shared" ref="FU16" si="36">+FT16*0.5</f>
        <v>0.20859374999999999</v>
      </c>
      <c r="FV16" s="49">
        <f t="shared" ref="FV16" si="37">+FU16*0.5</f>
        <v>0.104296875</v>
      </c>
    </row>
    <row r="17" spans="1:178" x14ac:dyDescent="0.25">
      <c r="A17" s="102"/>
      <c r="B17" t="s">
        <v>57</v>
      </c>
      <c r="C17">
        <v>170</v>
      </c>
      <c r="D17">
        <v>190</v>
      </c>
      <c r="E17">
        <v>210</v>
      </c>
      <c r="F17">
        <f>794-E17-D17-C17</f>
        <v>224</v>
      </c>
      <c r="G17" s="51">
        <v>207</v>
      </c>
      <c r="H17" s="51">
        <v>212</v>
      </c>
      <c r="I17" s="51">
        <v>225.6</v>
      </c>
      <c r="J17" s="51">
        <f>884-I17-H17-G17</f>
        <v>239.39999999999998</v>
      </c>
      <c r="K17" s="51">
        <v>209.8</v>
      </c>
      <c r="L17" s="51">
        <v>219.1</v>
      </c>
      <c r="M17" s="51">
        <v>226.4</v>
      </c>
      <c r="N17" s="51">
        <f>936-M17-L17-K17</f>
        <v>280.7</v>
      </c>
      <c r="O17" s="51">
        <v>195</v>
      </c>
      <c r="P17" s="51">
        <f>291-P15-30</f>
        <v>231</v>
      </c>
      <c r="Q17" s="51">
        <f>288-Q15-30</f>
        <v>226</v>
      </c>
      <c r="R17" s="51">
        <f>1150-Q17-P17-O17-SUM(O15:R15)-120</f>
        <v>248.39999999999998</v>
      </c>
      <c r="S17" s="51">
        <v>202.9</v>
      </c>
      <c r="T17" s="51">
        <v>278.3</v>
      </c>
      <c r="U17" s="51">
        <v>292.3</v>
      </c>
      <c r="V17" s="51">
        <f>1090-U17-T17-S17</f>
        <v>316.50000000000011</v>
      </c>
      <c r="W17" s="51">
        <v>273.7</v>
      </c>
      <c r="X17" s="51">
        <v>265</v>
      </c>
      <c r="Y17" s="51">
        <v>282.60000000000002</v>
      </c>
      <c r="Z17" s="51">
        <f>1110-Y17-X17-W17</f>
        <v>288.7</v>
      </c>
      <c r="AA17" s="51">
        <v>273.5</v>
      </c>
      <c r="AB17" s="51">
        <v>264.7</v>
      </c>
      <c r="AC17" s="51">
        <v>254.7</v>
      </c>
      <c r="AD17" s="51">
        <f>1060-AC17-AB17-AA17</f>
        <v>267.09999999999991</v>
      </c>
      <c r="AE17" s="51">
        <v>234.5</v>
      </c>
      <c r="AF17" s="51">
        <v>257.60000000000002</v>
      </c>
      <c r="AG17" s="51">
        <v>257.39999999999998</v>
      </c>
      <c r="AH17" s="51">
        <f>1000-AG17-AF17-AE17</f>
        <v>250.5</v>
      </c>
      <c r="AI17" s="51">
        <v>241</v>
      </c>
      <c r="AJ17" s="51">
        <v>255.5</v>
      </c>
      <c r="AK17" s="51">
        <v>264.5</v>
      </c>
      <c r="AL17" s="51">
        <f>1060-AK17-AJ17-AI17</f>
        <v>299</v>
      </c>
      <c r="AM17" s="51">
        <v>249.4</v>
      </c>
      <c r="AN17" s="51">
        <v>259.3</v>
      </c>
      <c r="AO17" s="51">
        <v>243.7</v>
      </c>
      <c r="AP17" s="51">
        <v>245.2</v>
      </c>
      <c r="AQ17" s="51">
        <v>256.89999999999998</v>
      </c>
      <c r="AR17" s="51">
        <v>249.8</v>
      </c>
      <c r="AS17" s="51">
        <v>250.9</v>
      </c>
      <c r="AT17" s="51">
        <v>247.2</v>
      </c>
      <c r="AU17" s="51">
        <v>219</v>
      </c>
      <c r="AV17" s="51">
        <v>220</v>
      </c>
      <c r="AW17" s="51">
        <v>230</v>
      </c>
      <c r="AX17" s="51">
        <v>257</v>
      </c>
      <c r="AY17" s="51">
        <v>225.8</v>
      </c>
      <c r="AZ17" s="51">
        <v>242.8</v>
      </c>
      <c r="BA17" s="51">
        <v>243.3</v>
      </c>
      <c r="BB17" s="51">
        <v>273.39999999999998</v>
      </c>
      <c r="BC17" s="51">
        <v>257.7</v>
      </c>
      <c r="BD17" s="51">
        <v>271.39999999999998</v>
      </c>
      <c r="BE17" s="51">
        <v>271.60000000000002</v>
      </c>
      <c r="BF17" s="51">
        <v>262.39999999999998</v>
      </c>
      <c r="BG17" s="51">
        <v>240.6</v>
      </c>
      <c r="BH17" s="51">
        <v>248.1</v>
      </c>
      <c r="BI17" s="51">
        <v>260.39999999999998</v>
      </c>
      <c r="BJ17" s="51">
        <v>273</v>
      </c>
      <c r="BK17" s="51">
        <v>257.8</v>
      </c>
      <c r="BL17" s="51">
        <v>265.2</v>
      </c>
      <c r="BM17" s="51">
        <v>278</v>
      </c>
      <c r="BN17" s="51">
        <v>287.89999999999998</v>
      </c>
      <c r="BO17" s="51">
        <v>289.8</v>
      </c>
      <c r="BP17" s="51">
        <v>311.8</v>
      </c>
      <c r="BQ17" s="51">
        <v>301.5</v>
      </c>
      <c r="BR17" s="51">
        <v>345.6</v>
      </c>
      <c r="BS17" s="51">
        <v>307.7</v>
      </c>
      <c r="BT17" s="51">
        <v>303</v>
      </c>
      <c r="BU17" s="51">
        <v>285.39999999999998</v>
      </c>
      <c r="BV17" s="51">
        <v>343</v>
      </c>
      <c r="BW17" s="51">
        <v>311.89999999999998</v>
      </c>
      <c r="BX17" s="51">
        <v>327.5</v>
      </c>
      <c r="BY17" s="51">
        <v>307</v>
      </c>
      <c r="BZ17" s="51">
        <v>369.5</v>
      </c>
      <c r="CA17" s="51">
        <v>316.2</v>
      </c>
      <c r="CB17" s="51">
        <v>352.4</v>
      </c>
      <c r="CC17" s="51">
        <v>335.9</v>
      </c>
      <c r="CD17" s="51">
        <v>395.6</v>
      </c>
      <c r="CE17" s="51">
        <v>315.7</v>
      </c>
      <c r="CF17" s="51">
        <v>316.39999999999998</v>
      </c>
      <c r="CG17" s="51">
        <v>316.7</v>
      </c>
      <c r="CH17" s="51">
        <v>358.6</v>
      </c>
      <c r="CI17" s="51">
        <v>356.4</v>
      </c>
      <c r="CJ17" s="51">
        <v>332.3</v>
      </c>
      <c r="CK17" s="51">
        <v>322</v>
      </c>
      <c r="CL17" s="51">
        <v>355.3</v>
      </c>
      <c r="CM17" s="51">
        <v>314.5</v>
      </c>
      <c r="CN17" s="51">
        <v>357.8</v>
      </c>
      <c r="CO17" s="51">
        <v>300.5</v>
      </c>
      <c r="CP17" s="51">
        <v>362.6</v>
      </c>
      <c r="CQ17" s="51">
        <v>325.89999999999998</v>
      </c>
      <c r="CR17" s="51">
        <v>346</v>
      </c>
      <c r="CS17" s="51">
        <v>322.10000000000002</v>
      </c>
      <c r="CT17" s="51">
        <v>337.4</v>
      </c>
      <c r="CU17" s="51">
        <v>297.7</v>
      </c>
      <c r="CV17" s="51">
        <v>322.60000000000002</v>
      </c>
      <c r="CW17" s="51">
        <v>321.8</v>
      </c>
      <c r="CX17" s="51">
        <v>348</v>
      </c>
      <c r="CY17" s="51">
        <v>315.7</v>
      </c>
      <c r="CZ17" s="51">
        <v>313.60000000000002</v>
      </c>
      <c r="DA17" s="51">
        <v>305.89999999999998</v>
      </c>
      <c r="DB17" s="51">
        <v>324.39999999999998</v>
      </c>
      <c r="DC17" s="51">
        <f>219+102.7</f>
        <v>321.7</v>
      </c>
      <c r="DD17" s="51">
        <v>315.3</v>
      </c>
      <c r="DE17" s="51">
        <v>286.7</v>
      </c>
      <c r="DF17" s="51">
        <v>298.8</v>
      </c>
      <c r="DG17" s="51">
        <f>190.4+82.8</f>
        <v>273.2</v>
      </c>
      <c r="DH17" s="51">
        <v>274</v>
      </c>
      <c r="DI17" s="51">
        <v>238.2</v>
      </c>
      <c r="DJ17" s="51">
        <v>234</v>
      </c>
      <c r="DK17" s="51">
        <v>252</v>
      </c>
      <c r="DL17" s="51">
        <v>205.3</v>
      </c>
      <c r="DM17" s="51">
        <v>206.7</v>
      </c>
      <c r="DN17" s="51">
        <f>852.1-DM17-DL17-DK17</f>
        <v>188.10000000000008</v>
      </c>
      <c r="DO17" s="51">
        <v>206.2</v>
      </c>
      <c r="DP17" s="51">
        <v>223.6</v>
      </c>
      <c r="DQ17" s="51">
        <v>207.1</v>
      </c>
      <c r="DR17" s="51">
        <f>+DN17</f>
        <v>188.10000000000008</v>
      </c>
      <c r="DS17" s="51">
        <v>173.2</v>
      </c>
      <c r="DT17" s="51">
        <f>+DP17</f>
        <v>223.6</v>
      </c>
      <c r="DU17" s="51">
        <f>+DQ17</f>
        <v>207.1</v>
      </c>
      <c r="DV17" s="51">
        <f>+DR17</f>
        <v>188.10000000000008</v>
      </c>
      <c r="DW17" s="49"/>
      <c r="DX17" s="49"/>
      <c r="DY17" s="49"/>
      <c r="DZ17" s="49"/>
      <c r="EA17" s="49"/>
      <c r="EB17" s="49"/>
      <c r="EC17" s="49"/>
      <c r="ED17" s="49"/>
      <c r="EE17" s="49"/>
      <c r="EF17" s="49"/>
      <c r="EG17" s="49"/>
      <c r="EH17" s="49">
        <v>794</v>
      </c>
      <c r="EI17" s="49"/>
      <c r="EJ17" s="49"/>
      <c r="EK17" s="49">
        <v>959.3</v>
      </c>
      <c r="EL17" s="49">
        <v>1090</v>
      </c>
      <c r="EM17" s="49">
        <v>1114.5</v>
      </c>
      <c r="EN17" s="51">
        <v>1060</v>
      </c>
      <c r="EO17" s="51">
        <v>1004</v>
      </c>
      <c r="EP17" s="51">
        <v>1060</v>
      </c>
      <c r="EQ17" s="51">
        <v>997</v>
      </c>
      <c r="ER17" s="51">
        <v>1005</v>
      </c>
      <c r="ES17" s="51">
        <v>905</v>
      </c>
      <c r="ET17" s="51">
        <f t="shared" ref="ET17" si="38">SUM(AY17:BB17)</f>
        <v>985.30000000000007</v>
      </c>
      <c r="EU17" s="51">
        <f t="shared" ref="EU17:EU48" si="39">SUM(BC17:BF17)</f>
        <v>1063.0999999999999</v>
      </c>
      <c r="EV17" s="51">
        <f t="shared" ref="EV17:EV48" si="40">SUM(BG17:BJ17)</f>
        <v>1022.0999999999999</v>
      </c>
      <c r="EW17" s="51">
        <f t="shared" ref="EW17:EW48" si="41">SUM(BK17:BN17)</f>
        <v>1088.9000000000001</v>
      </c>
      <c r="EX17" s="51">
        <f t="shared" ref="EX17:EX49" si="42">SUM(BO17:BR17)</f>
        <v>1248.7</v>
      </c>
      <c r="EY17" s="51">
        <f>SUM(BS17:BV17)</f>
        <v>1239.0999999999999</v>
      </c>
      <c r="EZ17" s="51">
        <v>1315.8</v>
      </c>
      <c r="FA17" s="51">
        <f>SUM(CA17:CD17)</f>
        <v>1400.1</v>
      </c>
      <c r="FB17" s="51">
        <f>SUM(CE17:CH17)</f>
        <v>1307.4000000000001</v>
      </c>
      <c r="FC17" s="51">
        <f>SUM(CI17:CL17)</f>
        <v>1366</v>
      </c>
      <c r="FD17" s="51">
        <f t="shared" si="17"/>
        <v>1335.4</v>
      </c>
      <c r="FE17" s="49">
        <f t="shared" si="18"/>
        <v>1331.4</v>
      </c>
      <c r="FF17" s="49">
        <f t="shared" si="19"/>
        <v>1290.0999999999999</v>
      </c>
      <c r="FG17" s="49">
        <f t="shared" si="15"/>
        <v>1259.5999999999999</v>
      </c>
      <c r="FH17" s="49">
        <f t="shared" si="16"/>
        <v>1222.5</v>
      </c>
      <c r="FI17" s="49">
        <f t="shared" si="9"/>
        <v>1019.4000000000001</v>
      </c>
      <c r="FJ17" s="49">
        <f t="shared" si="10"/>
        <v>852.10000000000014</v>
      </c>
      <c r="FK17" s="49">
        <f>SUM(Model!DO17:DR17)</f>
        <v>825</v>
      </c>
      <c r="FL17" s="49">
        <f t="shared" si="20"/>
        <v>792</v>
      </c>
      <c r="FM17" s="49">
        <f t="shared" ref="FM17:FQ17" si="43">+FL17*0.95</f>
        <v>752.4</v>
      </c>
      <c r="FN17" s="49">
        <f t="shared" si="43"/>
        <v>714.78</v>
      </c>
      <c r="FO17" s="49">
        <f t="shared" si="43"/>
        <v>679.04099999999994</v>
      </c>
      <c r="FP17" s="49">
        <f t="shared" si="43"/>
        <v>645.08894999999995</v>
      </c>
      <c r="FQ17" s="49">
        <f t="shared" si="43"/>
        <v>612.83450249999987</v>
      </c>
      <c r="FR17" s="49">
        <f t="shared" ref="FR17" si="44">+FQ17*0.95</f>
        <v>582.19277737499988</v>
      </c>
      <c r="FS17" s="49">
        <f t="shared" ref="FS17" si="45">+FR17*0.95</f>
        <v>553.08313850624984</v>
      </c>
      <c r="FT17" s="49">
        <f t="shared" ref="FT17" si="46">+FS17*0.95</f>
        <v>525.42898158093737</v>
      </c>
      <c r="FU17" s="49">
        <f t="shared" ref="FU17" si="47">+FT17*0.95</f>
        <v>499.1575325018905</v>
      </c>
      <c r="FV17" s="49">
        <f t="shared" ref="FV17" si="48">+FU17*0.95</f>
        <v>474.19965587679593</v>
      </c>
    </row>
    <row r="18" spans="1:178" x14ac:dyDescent="0.25">
      <c r="A18" s="102"/>
      <c r="B18" s="38" t="s">
        <v>565</v>
      </c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97"/>
      <c r="BW18" s="97"/>
      <c r="BX18" s="97"/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I18" s="97"/>
      <c r="CJ18" s="97"/>
      <c r="CK18" s="97"/>
      <c r="CL18" s="97"/>
      <c r="CM18" s="97"/>
      <c r="CN18" s="97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49"/>
      <c r="DX18" s="98"/>
      <c r="DY18" s="98"/>
      <c r="DZ18" s="98"/>
      <c r="EA18" s="98"/>
      <c r="EB18" s="98"/>
      <c r="EC18" s="98"/>
      <c r="ED18" s="98"/>
      <c r="EE18" s="98"/>
      <c r="EF18" s="98"/>
      <c r="EG18" s="98"/>
      <c r="EH18" s="98"/>
      <c r="EI18" s="98"/>
      <c r="EJ18" s="98"/>
      <c r="EK18" s="98"/>
      <c r="EL18" s="98"/>
      <c r="EM18" s="98"/>
      <c r="EN18" s="98"/>
      <c r="EO18" s="98"/>
      <c r="EP18" s="98"/>
      <c r="EQ18" s="98"/>
      <c r="ER18" s="98"/>
      <c r="ES18" s="98"/>
      <c r="ET18" s="98"/>
      <c r="EU18" s="98"/>
      <c r="EV18" s="98"/>
      <c r="EW18" s="98"/>
      <c r="EX18" s="98"/>
      <c r="EY18" s="98"/>
      <c r="EZ18" s="98"/>
      <c r="FA18" s="98"/>
      <c r="FB18" s="98"/>
      <c r="FC18" s="98"/>
      <c r="FD18" s="98"/>
      <c r="FE18" s="98"/>
      <c r="FF18" s="98"/>
      <c r="FG18" s="98"/>
      <c r="FH18" s="98"/>
      <c r="FI18" s="98"/>
      <c r="FJ18" s="98"/>
      <c r="FK18" s="98"/>
      <c r="FL18" s="49"/>
      <c r="FM18" s="49">
        <f>+FM17*0.5</f>
        <v>376.2</v>
      </c>
      <c r="FN18" s="49">
        <f t="shared" ref="FN18:FV18" si="49">+FN17*0.5</f>
        <v>357.39</v>
      </c>
      <c r="FO18" s="49">
        <f t="shared" si="49"/>
        <v>339.52049999999997</v>
      </c>
      <c r="FP18" s="49">
        <f t="shared" si="49"/>
        <v>322.54447499999998</v>
      </c>
      <c r="FQ18" s="49">
        <f t="shared" si="49"/>
        <v>306.41725124999994</v>
      </c>
      <c r="FR18" s="49">
        <f t="shared" si="49"/>
        <v>291.09638868749994</v>
      </c>
      <c r="FS18" s="49">
        <f t="shared" si="49"/>
        <v>276.54156925312492</v>
      </c>
      <c r="FT18" s="49">
        <f t="shared" si="49"/>
        <v>262.71449079046869</v>
      </c>
      <c r="FU18" s="49">
        <f t="shared" si="49"/>
        <v>249.57876625094525</v>
      </c>
      <c r="FV18" s="49">
        <f t="shared" si="49"/>
        <v>237.09982793839796</v>
      </c>
    </row>
    <row r="19" spans="1:178" x14ac:dyDescent="0.25">
      <c r="A19" s="102"/>
      <c r="B19" s="38" t="s">
        <v>373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97"/>
      <c r="BW19" s="97"/>
      <c r="BX19" s="97"/>
      <c r="BY19" s="97"/>
      <c r="BZ19" s="97"/>
      <c r="CA19" s="97"/>
      <c r="CB19" s="97"/>
      <c r="CC19" s="97"/>
      <c r="CD19" s="97"/>
      <c r="CE19" s="97"/>
      <c r="CF19" s="97"/>
      <c r="CG19" s="97"/>
      <c r="CH19" s="97"/>
      <c r="CI19" s="97"/>
      <c r="CJ19" s="97"/>
      <c r="CK19" s="97"/>
      <c r="CL19" s="97"/>
      <c r="CM19" s="52">
        <v>1.9</v>
      </c>
      <c r="CN19" s="52">
        <v>4.8</v>
      </c>
      <c r="CO19" s="52">
        <v>16.2</v>
      </c>
      <c r="CP19" s="52">
        <v>23</v>
      </c>
      <c r="CQ19" s="52">
        <v>32.200000000000003</v>
      </c>
      <c r="CR19" s="52">
        <v>44.7</v>
      </c>
      <c r="CS19" s="52">
        <v>55.6</v>
      </c>
      <c r="CT19" s="52">
        <v>70.099999999999994</v>
      </c>
      <c r="CU19" s="52">
        <v>82.1</v>
      </c>
      <c r="CV19" s="52">
        <v>102.4</v>
      </c>
      <c r="CW19" s="52">
        <v>114.6</v>
      </c>
      <c r="CX19" s="52">
        <v>127.8</v>
      </c>
      <c r="CY19" s="52">
        <v>139.69999999999999</v>
      </c>
      <c r="CZ19" s="52">
        <v>145</v>
      </c>
      <c r="DA19" s="52">
        <v>162</v>
      </c>
      <c r="DB19" s="52">
        <v>192.2</v>
      </c>
      <c r="DC19" s="52">
        <v>193.8</v>
      </c>
      <c r="DD19" s="52">
        <v>208.4</v>
      </c>
      <c r="DE19" s="52">
        <v>406.9</v>
      </c>
      <c r="DF19" s="52">
        <v>306</v>
      </c>
      <c r="DG19" s="52">
        <v>255.6</v>
      </c>
      <c r="DH19" s="52">
        <v>186.2</v>
      </c>
      <c r="DI19" s="52">
        <v>182.9</v>
      </c>
      <c r="DJ19" s="52">
        <v>205.8</v>
      </c>
      <c r="DK19" s="52">
        <v>228.9</v>
      </c>
      <c r="DL19" s="52">
        <v>218.9</v>
      </c>
      <c r="DM19" s="52">
        <v>231.4</v>
      </c>
      <c r="DN19" s="52">
        <v>243.5</v>
      </c>
      <c r="DO19" s="52">
        <v>217.4</v>
      </c>
      <c r="DP19" s="52">
        <v>227.7</v>
      </c>
      <c r="DQ19" s="51">
        <v>250.8</v>
      </c>
      <c r="DR19" s="51">
        <f>+DN19</f>
        <v>243.5</v>
      </c>
      <c r="DS19" s="51">
        <v>228.7</v>
      </c>
      <c r="DT19" s="51">
        <f t="shared" ref="DR19:DV33" si="50">+DP19</f>
        <v>227.7</v>
      </c>
      <c r="DU19" s="51">
        <f t="shared" si="50"/>
        <v>250.8</v>
      </c>
      <c r="DV19" s="51">
        <f t="shared" si="50"/>
        <v>243.5</v>
      </c>
      <c r="DW19" s="49"/>
      <c r="DX19" s="98"/>
      <c r="DY19" s="98"/>
      <c r="DZ19" s="98"/>
      <c r="EA19" s="98"/>
      <c r="EB19" s="98"/>
      <c r="EC19" s="98"/>
      <c r="ED19" s="98"/>
      <c r="EE19" s="98"/>
      <c r="EF19" s="98"/>
      <c r="EG19" s="98"/>
      <c r="EH19" s="98"/>
      <c r="EI19" s="98"/>
      <c r="EJ19" s="98"/>
      <c r="EK19" s="98"/>
      <c r="EL19" s="98"/>
      <c r="EM19" s="98"/>
      <c r="EN19" s="97"/>
      <c r="EO19" s="97"/>
      <c r="EP19" s="97"/>
      <c r="EQ19" s="97"/>
      <c r="ER19" s="97"/>
      <c r="ES19" s="97"/>
      <c r="ET19" s="97"/>
      <c r="EU19" s="97"/>
      <c r="EV19" s="97"/>
      <c r="EW19" s="97"/>
      <c r="EX19" s="97"/>
      <c r="EY19" s="97"/>
      <c r="EZ19" s="97"/>
      <c r="FA19" s="97"/>
      <c r="FB19" s="97"/>
      <c r="FC19" s="97"/>
      <c r="FD19" s="51">
        <f t="shared" si="17"/>
        <v>45.9</v>
      </c>
      <c r="FE19" s="49">
        <f t="shared" si="18"/>
        <v>202.6</v>
      </c>
      <c r="FF19" s="49">
        <f t="shared" si="19"/>
        <v>426.90000000000003</v>
      </c>
      <c r="FG19" s="49">
        <f t="shared" si="15"/>
        <v>638.9</v>
      </c>
      <c r="FH19" s="49">
        <f t="shared" si="16"/>
        <v>1115.0999999999999</v>
      </c>
      <c r="FI19" s="49">
        <f t="shared" si="9"/>
        <v>830.5</v>
      </c>
      <c r="FJ19" s="49">
        <f t="shared" si="10"/>
        <v>922.7</v>
      </c>
      <c r="FK19" s="49">
        <f>SUM(Model!DO19:DR19)</f>
        <v>939.40000000000009</v>
      </c>
      <c r="FL19" s="49">
        <f t="shared" si="20"/>
        <v>950.7</v>
      </c>
      <c r="FM19" s="49">
        <f t="shared" ref="FM19:FP19" si="51">+FL19*1.01</f>
        <v>960.20700000000011</v>
      </c>
      <c r="FN19" s="49">
        <f t="shared" si="51"/>
        <v>969.80907000000013</v>
      </c>
      <c r="FO19" s="49">
        <f t="shared" si="51"/>
        <v>979.5071607000001</v>
      </c>
      <c r="FP19" s="49">
        <f t="shared" si="51"/>
        <v>989.30223230700005</v>
      </c>
      <c r="FQ19" s="49">
        <f>+FP19*0.1</f>
        <v>98.930223230700008</v>
      </c>
      <c r="FR19" s="49">
        <f t="shared" ref="FR19:FV19" si="52">+FQ19*0.1</f>
        <v>9.8930223230700012</v>
      </c>
      <c r="FS19" s="49">
        <f t="shared" si="52"/>
        <v>0.98930223230700021</v>
      </c>
      <c r="FT19" s="49">
        <f t="shared" si="52"/>
        <v>9.8930223230700026E-2</v>
      </c>
      <c r="FU19" s="49">
        <f t="shared" si="52"/>
        <v>9.8930223230700026E-3</v>
      </c>
      <c r="FV19" s="49">
        <f t="shared" si="52"/>
        <v>9.8930223230700031E-4</v>
      </c>
    </row>
    <row r="20" spans="1:178" x14ac:dyDescent="0.25">
      <c r="A20" s="102"/>
      <c r="B20" s="38" t="s">
        <v>370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97"/>
      <c r="BW20" s="97"/>
      <c r="BX20" s="97"/>
      <c r="BY20" s="97"/>
      <c r="BZ20" s="97"/>
      <c r="CA20" s="97"/>
      <c r="CB20" s="51">
        <v>13.7</v>
      </c>
      <c r="CC20" s="51">
        <v>28.4</v>
      </c>
      <c r="CD20" s="51">
        <v>33.6</v>
      </c>
      <c r="CE20" s="51">
        <v>67.5</v>
      </c>
      <c r="CF20" s="51">
        <v>87.7</v>
      </c>
      <c r="CG20" s="51">
        <v>111.2</v>
      </c>
      <c r="CH20" s="51">
        <v>117.5</v>
      </c>
      <c r="CI20" s="51">
        <v>131</v>
      </c>
      <c r="CJ20" s="51">
        <v>147</v>
      </c>
      <c r="CK20" s="51">
        <v>159</v>
      </c>
      <c r="CL20" s="51">
        <v>177.1</v>
      </c>
      <c r="CM20" s="51">
        <v>171.2</v>
      </c>
      <c r="CN20" s="51">
        <v>186.3</v>
      </c>
      <c r="CO20" s="51">
        <v>196</v>
      </c>
      <c r="CP20" s="51">
        <v>204.8</v>
      </c>
      <c r="CQ20" s="51">
        <v>183.6</v>
      </c>
      <c r="CR20" s="51">
        <v>218.8</v>
      </c>
      <c r="CS20" s="51">
        <v>198.4</v>
      </c>
      <c r="CT20" s="51">
        <v>220.6</v>
      </c>
      <c r="CU20" s="51">
        <v>198.3</v>
      </c>
      <c r="CV20" s="51">
        <v>241.8</v>
      </c>
      <c r="CW20" s="51">
        <v>240</v>
      </c>
      <c r="CX20" s="51">
        <v>245.1</v>
      </c>
      <c r="CY20" s="51">
        <v>239</v>
      </c>
      <c r="CZ20" s="51">
        <v>256.7</v>
      </c>
      <c r="DA20" s="51">
        <v>252.7</v>
      </c>
      <c r="DB20" s="51">
        <v>284.2</v>
      </c>
      <c r="DC20" s="51">
        <v>240.5</v>
      </c>
      <c r="DD20" s="51">
        <v>268.7</v>
      </c>
      <c r="DE20" s="51">
        <v>253.4</v>
      </c>
      <c r="DF20" s="51">
        <v>270.39999999999998</v>
      </c>
      <c r="DG20" s="51">
        <v>230.3</v>
      </c>
      <c r="DH20" s="51">
        <v>231.3</v>
      </c>
      <c r="DI20" s="51">
        <v>232.1</v>
      </c>
      <c r="DJ20" s="51">
        <v>277.8</v>
      </c>
      <c r="DK20" s="51">
        <v>236.8</v>
      </c>
      <c r="DL20" s="51">
        <v>260.3</v>
      </c>
      <c r="DM20" s="51">
        <v>224.1</v>
      </c>
      <c r="DN20" s="51">
        <v>253.6</v>
      </c>
      <c r="DO20" s="51">
        <v>229.9</v>
      </c>
      <c r="DP20" s="51">
        <v>248.9</v>
      </c>
      <c r="DQ20" s="51">
        <v>236</v>
      </c>
      <c r="DR20" s="51">
        <f>+DN20</f>
        <v>253.6</v>
      </c>
      <c r="DS20" s="51">
        <v>224.9</v>
      </c>
      <c r="DT20" s="51">
        <f t="shared" si="50"/>
        <v>248.9</v>
      </c>
      <c r="DU20" s="51">
        <f t="shared" si="50"/>
        <v>236</v>
      </c>
      <c r="DV20" s="51">
        <f t="shared" si="50"/>
        <v>253.6</v>
      </c>
      <c r="DW20" s="49"/>
      <c r="DX20" s="98"/>
      <c r="DY20" s="98"/>
      <c r="DZ20" s="98"/>
      <c r="EA20" s="98"/>
      <c r="EB20" s="98"/>
      <c r="EC20" s="98"/>
      <c r="ED20" s="98"/>
      <c r="EE20" s="98"/>
      <c r="EF20" s="98"/>
      <c r="EG20" s="98"/>
      <c r="EH20" s="98"/>
      <c r="EI20" s="98"/>
      <c r="EJ20" s="98"/>
      <c r="EK20" s="98"/>
      <c r="EL20" s="98"/>
      <c r="EM20" s="98"/>
      <c r="EN20" s="97"/>
      <c r="EO20" s="97"/>
      <c r="EP20" s="97"/>
      <c r="EQ20" s="97"/>
      <c r="ER20" s="97"/>
      <c r="ES20" s="97"/>
      <c r="ET20" s="97"/>
      <c r="EU20" s="97"/>
      <c r="EV20" s="97"/>
      <c r="EW20" s="97"/>
      <c r="EX20" s="97"/>
      <c r="EY20" s="97"/>
      <c r="EZ20" s="97"/>
      <c r="FA20" s="51">
        <v>75.599999999999994</v>
      </c>
      <c r="FB20" s="51">
        <v>383.8</v>
      </c>
      <c r="FC20" s="51">
        <f>SUM(CI20:CL20)</f>
        <v>614.1</v>
      </c>
      <c r="FD20" s="51">
        <v>758.3</v>
      </c>
      <c r="FE20" s="49">
        <f t="shared" si="18"/>
        <v>821.4</v>
      </c>
      <c r="FF20" s="49">
        <f t="shared" si="19"/>
        <v>925.2</v>
      </c>
      <c r="FG20" s="49">
        <f t="shared" si="15"/>
        <v>1032.5999999999999</v>
      </c>
      <c r="FH20" s="49">
        <f t="shared" si="16"/>
        <v>1033</v>
      </c>
      <c r="FI20" s="49">
        <f t="shared" si="9"/>
        <v>971.5</v>
      </c>
      <c r="FJ20" s="49">
        <f t="shared" si="10"/>
        <v>974.80000000000007</v>
      </c>
      <c r="FK20" s="49">
        <f>SUM(Model!DO20:DR20)</f>
        <v>968.4</v>
      </c>
      <c r="FL20" s="49">
        <f t="shared" si="20"/>
        <v>963.4</v>
      </c>
      <c r="FM20" s="49">
        <f t="shared" ref="FM20:FQ20" si="53">+FL20*0.95</f>
        <v>915.2299999999999</v>
      </c>
      <c r="FN20" s="49">
        <f t="shared" si="53"/>
        <v>869.46849999999984</v>
      </c>
      <c r="FO20" s="49">
        <f t="shared" si="53"/>
        <v>825.99507499999982</v>
      </c>
      <c r="FP20" s="49">
        <f t="shared" si="53"/>
        <v>784.69532124999978</v>
      </c>
      <c r="FQ20" s="49">
        <f t="shared" si="53"/>
        <v>745.46055518749972</v>
      </c>
      <c r="FR20" s="49">
        <f t="shared" ref="FR20" si="54">+FQ20*0.95</f>
        <v>708.18752742812467</v>
      </c>
      <c r="FS20" s="49">
        <f t="shared" ref="FS20" si="55">+FR20*0.95</f>
        <v>672.77815105671846</v>
      </c>
      <c r="FT20" s="49">
        <f t="shared" ref="FT20" si="56">+FS20*0.95</f>
        <v>639.13924350388254</v>
      </c>
      <c r="FU20" s="49">
        <f t="shared" ref="FU20" si="57">+FT20*0.95</f>
        <v>607.18228132868842</v>
      </c>
      <c r="FV20" s="49">
        <f t="shared" ref="FV20" si="58">+FU20*0.95</f>
        <v>576.82316726225395</v>
      </c>
    </row>
    <row r="21" spans="1:178" x14ac:dyDescent="0.25">
      <c r="A21" s="102"/>
      <c r="B21" t="s">
        <v>18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51">
        <v>21.5</v>
      </c>
      <c r="AJ21" s="51">
        <v>37.5</v>
      </c>
      <c r="AK21" s="51">
        <v>50.2</v>
      </c>
      <c r="AL21" s="51">
        <f>203.3-AK21-AJ21-AI21</f>
        <v>94.100000000000023</v>
      </c>
      <c r="AM21" s="51">
        <v>108.3</v>
      </c>
      <c r="AN21" s="111">
        <v>125</v>
      </c>
      <c r="AO21" s="51">
        <v>154.1</v>
      </c>
      <c r="AP21" s="51">
        <v>152.69999999999999</v>
      </c>
      <c r="AQ21" s="51">
        <v>150.1</v>
      </c>
      <c r="AR21" s="111">
        <f t="shared" ref="AR21:AW21" si="59">+AQ21+15</f>
        <v>165.1</v>
      </c>
      <c r="AS21" s="111">
        <f t="shared" si="59"/>
        <v>180.1</v>
      </c>
      <c r="AT21" s="111">
        <f t="shared" si="59"/>
        <v>195.1</v>
      </c>
      <c r="AU21" s="111">
        <f t="shared" si="59"/>
        <v>210.1</v>
      </c>
      <c r="AV21" s="111">
        <f t="shared" si="59"/>
        <v>225.1</v>
      </c>
      <c r="AW21" s="111">
        <f t="shared" si="59"/>
        <v>240.1</v>
      </c>
      <c r="AX21" s="51">
        <v>268</v>
      </c>
      <c r="AY21" s="51">
        <v>266</v>
      </c>
      <c r="AZ21" s="51">
        <v>293.10000000000002</v>
      </c>
      <c r="BA21" s="51">
        <v>311</v>
      </c>
      <c r="BB21" s="51">
        <v>346.2</v>
      </c>
      <c r="BC21" s="51">
        <v>336.9</v>
      </c>
      <c r="BD21" s="51">
        <v>362.2</v>
      </c>
      <c r="BE21" s="51">
        <v>376.6</v>
      </c>
      <c r="BF21" s="51">
        <v>368.8</v>
      </c>
      <c r="BG21" s="51">
        <v>358.8</v>
      </c>
      <c r="BH21" s="51">
        <v>363.6</v>
      </c>
      <c r="BI21" s="51">
        <v>397.2</v>
      </c>
      <c r="BJ21" s="51">
        <v>439.5</v>
      </c>
      <c r="BK21" s="51">
        <v>408.3</v>
      </c>
      <c r="BL21" s="51">
        <v>418.7</v>
      </c>
      <c r="BM21" s="51">
        <v>406.5</v>
      </c>
      <c r="BN21" s="51">
        <v>465.9</v>
      </c>
      <c r="BO21" s="51">
        <v>434.4</v>
      </c>
      <c r="BP21" s="51">
        <v>477.2</v>
      </c>
      <c r="BQ21" s="51">
        <v>469.8</v>
      </c>
      <c r="BR21" s="51">
        <v>494.2</v>
      </c>
      <c r="BS21" s="51">
        <v>461.8</v>
      </c>
      <c r="BT21" s="51">
        <v>469.5</v>
      </c>
      <c r="BU21" s="51">
        <v>482.1</v>
      </c>
      <c r="BV21" s="51">
        <v>513.4</v>
      </c>
      <c r="BW21" s="51">
        <v>515</v>
      </c>
      <c r="BX21" s="51">
        <v>529.4</v>
      </c>
      <c r="BY21" s="51">
        <v>526.70000000000005</v>
      </c>
      <c r="BZ21" s="51">
        <v>588.29999999999995</v>
      </c>
      <c r="CA21" s="51">
        <v>532.4</v>
      </c>
      <c r="CB21" s="51">
        <v>567.79999999999995</v>
      </c>
      <c r="CC21" s="51">
        <v>568.4</v>
      </c>
      <c r="CD21" s="51">
        <v>622.4</v>
      </c>
      <c r="CE21" s="51">
        <v>538.29999999999995</v>
      </c>
      <c r="CF21" s="51">
        <v>567.9</v>
      </c>
      <c r="CG21" s="51">
        <v>566.1</v>
      </c>
      <c r="CH21" s="51">
        <v>638.4</v>
      </c>
      <c r="CI21" s="51">
        <v>576.70000000000005</v>
      </c>
      <c r="CJ21" s="51">
        <v>630.5</v>
      </c>
      <c r="CK21" s="51">
        <v>588.20000000000005</v>
      </c>
      <c r="CL21" s="51">
        <v>676.3</v>
      </c>
      <c r="CM21" s="51">
        <v>533.6</v>
      </c>
      <c r="CN21" s="51">
        <v>627.29999999999995</v>
      </c>
      <c r="CO21" s="51">
        <v>564.9</v>
      </c>
      <c r="CP21" s="51">
        <v>597.4</v>
      </c>
      <c r="CQ21" s="51">
        <v>495.4</v>
      </c>
      <c r="CR21" s="51">
        <v>538.70000000000005</v>
      </c>
      <c r="CS21" s="51">
        <v>467.1</v>
      </c>
      <c r="CT21" s="51">
        <v>350.7</v>
      </c>
      <c r="CU21" s="51">
        <v>308.2</v>
      </c>
      <c r="CV21" s="51">
        <v>200.2</v>
      </c>
      <c r="CW21" s="51">
        <v>184.3</v>
      </c>
      <c r="CX21" s="51">
        <f>890.5-CW21-CV21-CU21</f>
        <v>197.80000000000007</v>
      </c>
      <c r="CY21" s="51">
        <v>193</v>
      </c>
      <c r="CZ21" s="51">
        <v>130.69999999999999</v>
      </c>
      <c r="DA21" s="52">
        <v>162.5</v>
      </c>
      <c r="DB21" s="51">
        <f>607.1-DA21-CZ21-CY21</f>
        <v>120.90000000000003</v>
      </c>
      <c r="DC21" s="51">
        <v>126.8</v>
      </c>
      <c r="DD21" s="51">
        <v>281</v>
      </c>
      <c r="DE21" s="51">
        <v>130.9</v>
      </c>
      <c r="DF21" s="51">
        <f>718.4-DE21-DD21-DC21</f>
        <v>179.7</v>
      </c>
      <c r="DG21" s="51">
        <v>217.7</v>
      </c>
      <c r="DH21" s="51">
        <v>147</v>
      </c>
      <c r="DI21" s="51">
        <v>115.7</v>
      </c>
      <c r="DJ21" s="51">
        <f>587.3-DI21-DH21-DG21</f>
        <v>106.89999999999998</v>
      </c>
      <c r="DK21" s="51">
        <v>100.3</v>
      </c>
      <c r="DL21" s="51">
        <v>115.6</v>
      </c>
      <c r="DM21" s="51">
        <v>86.8</v>
      </c>
      <c r="DN21" s="51">
        <f>381.5-DM21-DL21-DK21</f>
        <v>78.8</v>
      </c>
      <c r="DO21" s="51">
        <v>139.30000000000001</v>
      </c>
      <c r="DP21" s="51">
        <v>87.7</v>
      </c>
      <c r="DQ21" s="51">
        <v>91.5</v>
      </c>
      <c r="DR21" s="51">
        <f>+DN21</f>
        <v>78.8</v>
      </c>
      <c r="DS21" s="51">
        <v>69.900000000000006</v>
      </c>
      <c r="DT21" s="51">
        <f t="shared" si="50"/>
        <v>87.7</v>
      </c>
      <c r="DU21" s="51">
        <f t="shared" si="50"/>
        <v>91.5</v>
      </c>
      <c r="DV21" s="51">
        <f t="shared" si="50"/>
        <v>78.8</v>
      </c>
      <c r="DW21" s="49"/>
      <c r="DX21" s="98"/>
      <c r="DY21" s="98"/>
      <c r="DZ21" s="98"/>
      <c r="EA21" s="98"/>
      <c r="EB21" s="98"/>
      <c r="EC21" s="98"/>
      <c r="ED21" s="98"/>
      <c r="EE21" s="98"/>
      <c r="EF21" s="98"/>
      <c r="EG21" s="98"/>
      <c r="EH21" s="98"/>
      <c r="EI21" s="98"/>
      <c r="EJ21" s="98"/>
      <c r="EK21" s="98"/>
      <c r="EL21" s="98"/>
      <c r="EM21" s="98"/>
      <c r="EN21" s="97"/>
      <c r="EO21" s="97"/>
      <c r="EP21" s="51">
        <v>74</v>
      </c>
      <c r="EQ21" s="51">
        <v>130</v>
      </c>
      <c r="ER21" s="51">
        <v>170</v>
      </c>
      <c r="ES21" s="51">
        <v>212</v>
      </c>
      <c r="ET21" s="51">
        <f>SUM(AY21:BB21)</f>
        <v>1216.3</v>
      </c>
      <c r="EU21" s="51">
        <f>SUM(BC21:BF21)</f>
        <v>1444.4999999999998</v>
      </c>
      <c r="EV21" s="51">
        <f>SUM(BG21:BJ21)</f>
        <v>1559.1000000000001</v>
      </c>
      <c r="EW21" s="51">
        <f>SUM(BK21:BN21)</f>
        <v>1699.4</v>
      </c>
      <c r="EX21" s="51">
        <f>SUM(BO21:BR21)</f>
        <v>1875.6</v>
      </c>
      <c r="EY21" s="51">
        <f>SUM(BS21:BV21)</f>
        <v>1926.8000000000002</v>
      </c>
      <c r="EZ21" s="51">
        <v>2159.4</v>
      </c>
      <c r="FA21" s="51">
        <v>2291</v>
      </c>
      <c r="FB21" s="51">
        <v>2310.6999999999998</v>
      </c>
      <c r="FC21" s="51">
        <f>SUM(CI21:CL21)</f>
        <v>2471.6999999999998</v>
      </c>
      <c r="FD21" s="51">
        <v>2323.1</v>
      </c>
      <c r="FE21" s="49">
        <f t="shared" si="18"/>
        <v>1851.8999999999999</v>
      </c>
      <c r="FF21" s="49">
        <f t="shared" si="19"/>
        <v>890.50000000000011</v>
      </c>
      <c r="FG21" s="49">
        <f t="shared" si="15"/>
        <v>607.1</v>
      </c>
      <c r="FH21" s="49">
        <f t="shared" si="16"/>
        <v>718.40000000000009</v>
      </c>
      <c r="FI21" s="49">
        <f t="shared" si="9"/>
        <v>587.29999999999995</v>
      </c>
      <c r="FJ21" s="49">
        <f t="shared" si="10"/>
        <v>381.5</v>
      </c>
      <c r="FK21" s="49">
        <f>SUM(Model!DO21:DR21)</f>
        <v>397.3</v>
      </c>
      <c r="FL21" s="49">
        <f t="shared" si="20"/>
        <v>327.90000000000003</v>
      </c>
      <c r="FM21" s="49">
        <f t="shared" ref="FM21:FQ22" si="60">+FL21*0.9</f>
        <v>295.11</v>
      </c>
      <c r="FN21" s="49">
        <f t="shared" si="60"/>
        <v>265.59900000000005</v>
      </c>
      <c r="FO21" s="49">
        <f t="shared" si="60"/>
        <v>239.03910000000005</v>
      </c>
      <c r="FP21" s="49">
        <f t="shared" si="60"/>
        <v>215.13519000000005</v>
      </c>
      <c r="FQ21" s="49">
        <f t="shared" si="60"/>
        <v>193.62167100000005</v>
      </c>
      <c r="FR21" s="49">
        <f t="shared" ref="FR21:FR22" si="61">+FQ21*0.9</f>
        <v>174.25950390000006</v>
      </c>
      <c r="FS21" s="49">
        <f t="shared" ref="FS21:FS22" si="62">+FR21*0.9</f>
        <v>156.83355351000006</v>
      </c>
      <c r="FT21" s="49">
        <f t="shared" ref="FT21:FT22" si="63">+FS21*0.9</f>
        <v>141.15019815900007</v>
      </c>
      <c r="FU21" s="49">
        <f t="shared" ref="FU21:FU22" si="64">+FT21*0.9</f>
        <v>127.03517834310007</v>
      </c>
      <c r="FV21" s="49">
        <f t="shared" ref="FV21:FV22" si="65">+FU21*0.9</f>
        <v>114.33166050879007</v>
      </c>
    </row>
    <row r="22" spans="1:178" x14ac:dyDescent="0.25">
      <c r="A22" s="102"/>
      <c r="B22" s="38" t="s">
        <v>366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>
        <v>3.8</v>
      </c>
      <c r="CH22" s="51">
        <v>7.3</v>
      </c>
      <c r="CI22" s="51">
        <v>10.9</v>
      </c>
      <c r="CJ22" s="51">
        <v>16.3</v>
      </c>
      <c r="CK22" s="51">
        <v>19.399999999999999</v>
      </c>
      <c r="CL22" s="51">
        <v>39.5</v>
      </c>
      <c r="CM22" s="51">
        <v>46</v>
      </c>
      <c r="CN22" s="51">
        <v>86.6</v>
      </c>
      <c r="CO22" s="51">
        <v>145.69999999999999</v>
      </c>
      <c r="CP22" s="51">
        <v>153.80000000000001</v>
      </c>
      <c r="CQ22" s="51">
        <v>166</v>
      </c>
      <c r="CR22" s="51">
        <v>201.8</v>
      </c>
      <c r="CS22" s="51">
        <v>201.2</v>
      </c>
      <c r="CT22" s="51">
        <v>232.2</v>
      </c>
      <c r="CU22" s="51">
        <v>251.4</v>
      </c>
      <c r="CV22" s="51">
        <v>290.7</v>
      </c>
      <c r="CW22" s="51">
        <v>263.2</v>
      </c>
      <c r="CX22" s="51">
        <v>307.2</v>
      </c>
      <c r="CY22" s="51">
        <v>303.7</v>
      </c>
      <c r="CZ22" s="51">
        <v>290.39999999999998</v>
      </c>
      <c r="DA22" s="51">
        <v>248.2</v>
      </c>
      <c r="DB22" s="51">
        <v>282.10000000000002</v>
      </c>
      <c r="DC22" s="51">
        <v>246.6</v>
      </c>
      <c r="DD22" s="51">
        <v>210.7</v>
      </c>
      <c r="DE22" s="51">
        <v>192.8</v>
      </c>
      <c r="DF22" s="51">
        <v>242.4</v>
      </c>
      <c r="DG22" s="51">
        <v>191.5</v>
      </c>
      <c r="DH22" s="51">
        <v>174.2</v>
      </c>
      <c r="DI22" s="51">
        <v>193</v>
      </c>
      <c r="DJ22" s="51">
        <v>201.7</v>
      </c>
      <c r="DK22" s="51">
        <v>209.3</v>
      </c>
      <c r="DL22" s="51">
        <v>154.19999999999999</v>
      </c>
      <c r="DM22" s="51">
        <v>179.6</v>
      </c>
      <c r="DN22" s="51">
        <f>728.3-DM22-DL22-DK22</f>
        <v>185.19999999999993</v>
      </c>
      <c r="DO22" s="51">
        <v>157.6</v>
      </c>
      <c r="DP22" s="51">
        <v>180.8</v>
      </c>
      <c r="DQ22" s="51">
        <v>161.6</v>
      </c>
      <c r="DR22" s="51">
        <f>+DN22</f>
        <v>185.19999999999993</v>
      </c>
      <c r="DS22" s="51">
        <v>173.6</v>
      </c>
      <c r="DT22" s="51">
        <f t="shared" ref="DT22" si="66">+DP22</f>
        <v>180.8</v>
      </c>
      <c r="DU22" s="51">
        <f t="shared" ref="DU22" si="67">+DQ22</f>
        <v>161.6</v>
      </c>
      <c r="DV22" s="51">
        <f t="shared" ref="DV22" si="68">+DR22</f>
        <v>185.19999999999993</v>
      </c>
      <c r="DW22" s="49"/>
      <c r="DX22" s="98"/>
      <c r="DY22" s="98"/>
      <c r="DZ22" s="98"/>
      <c r="EA22" s="98"/>
      <c r="EB22" s="98"/>
      <c r="EC22" s="98"/>
      <c r="ED22" s="98"/>
      <c r="EE22" s="98"/>
      <c r="EF22" s="98"/>
      <c r="EG22" s="98"/>
      <c r="EH22" s="98"/>
      <c r="EI22" s="98"/>
      <c r="EJ22" s="98"/>
      <c r="EK22" s="98"/>
      <c r="EL22" s="98"/>
      <c r="EM22" s="98"/>
      <c r="EN22" s="97"/>
      <c r="EO22" s="97"/>
      <c r="EP22" s="97"/>
      <c r="EQ22" s="97"/>
      <c r="ER22" s="97"/>
      <c r="ES22" s="97"/>
      <c r="ET22" s="97"/>
      <c r="EU22" s="97"/>
      <c r="EV22" s="97"/>
      <c r="EW22" s="97"/>
      <c r="EX22" s="97"/>
      <c r="EY22" s="97"/>
      <c r="EZ22" s="97"/>
      <c r="FA22" s="97"/>
      <c r="FB22" s="51">
        <f>SUM(CE22:CH22)</f>
        <v>11.1</v>
      </c>
      <c r="FC22" s="51">
        <f>SUM(CI22:CL22)</f>
        <v>86.1</v>
      </c>
      <c r="FD22" s="51">
        <v>432.1</v>
      </c>
      <c r="FE22" s="49">
        <f t="shared" si="18"/>
        <v>801.2</v>
      </c>
      <c r="FF22" s="49">
        <f t="shared" si="19"/>
        <v>1112.5</v>
      </c>
      <c r="FG22" s="49">
        <f t="shared" si="15"/>
        <v>1124.4000000000001</v>
      </c>
      <c r="FH22" s="49">
        <f t="shared" si="16"/>
        <v>892.49999999999989</v>
      </c>
      <c r="FI22" s="49">
        <f t="shared" si="9"/>
        <v>760.40000000000009</v>
      </c>
      <c r="FJ22" s="49">
        <f t="shared" si="10"/>
        <v>728.3</v>
      </c>
      <c r="FK22" s="49">
        <f>SUM(Model!DO22:DR22)</f>
        <v>685.19999999999993</v>
      </c>
      <c r="FL22" s="49">
        <f t="shared" si="20"/>
        <v>701.19999999999993</v>
      </c>
      <c r="FM22" s="49">
        <f t="shared" si="60"/>
        <v>631.07999999999993</v>
      </c>
      <c r="FN22" s="49">
        <f t="shared" si="60"/>
        <v>567.97199999999998</v>
      </c>
      <c r="FO22" s="49">
        <f t="shared" si="60"/>
        <v>511.1748</v>
      </c>
      <c r="FP22" s="49">
        <f t="shared" si="60"/>
        <v>460.05732</v>
      </c>
      <c r="FQ22" s="49">
        <f t="shared" si="60"/>
        <v>414.05158800000004</v>
      </c>
      <c r="FR22" s="49">
        <f t="shared" si="61"/>
        <v>372.64642920000006</v>
      </c>
      <c r="FS22" s="49">
        <f t="shared" si="62"/>
        <v>335.38178628000009</v>
      </c>
      <c r="FT22" s="49">
        <f t="shared" si="63"/>
        <v>301.84360765200006</v>
      </c>
      <c r="FU22" s="49">
        <f t="shared" si="64"/>
        <v>271.65924688680008</v>
      </c>
      <c r="FV22" s="49">
        <f t="shared" si="65"/>
        <v>244.49332219812007</v>
      </c>
    </row>
    <row r="23" spans="1:178" x14ac:dyDescent="0.25">
      <c r="A23" s="102"/>
      <c r="B23" s="38" t="s">
        <v>375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>
        <v>0</v>
      </c>
      <c r="CR23" s="52">
        <v>0</v>
      </c>
      <c r="CS23" s="52">
        <v>0</v>
      </c>
      <c r="CT23" s="52">
        <v>4.9000000000000004</v>
      </c>
      <c r="CU23" s="52">
        <v>14.2</v>
      </c>
      <c r="CV23" s="52">
        <v>34.299999999999997</v>
      </c>
      <c r="CW23" s="52">
        <v>47.7</v>
      </c>
      <c r="CX23" s="52">
        <v>66.3</v>
      </c>
      <c r="CY23" s="52">
        <v>74</v>
      </c>
      <c r="CZ23" s="52">
        <v>87.4</v>
      </c>
      <c r="DA23" s="52">
        <v>91.5</v>
      </c>
      <c r="DB23" s="52">
        <v>109.9</v>
      </c>
      <c r="DC23" s="52">
        <v>119.5</v>
      </c>
      <c r="DD23" s="52">
        <v>156.30000000000001</v>
      </c>
      <c r="DE23" s="52">
        <v>140</v>
      </c>
      <c r="DF23" s="52">
        <v>161.5</v>
      </c>
      <c r="DG23" s="52">
        <v>149.30000000000001</v>
      </c>
      <c r="DH23" s="52">
        <v>157.5</v>
      </c>
      <c r="DI23" s="52">
        <v>168.5</v>
      </c>
      <c r="DJ23" s="52">
        <v>175.6</v>
      </c>
      <c r="DK23" s="52">
        <v>154.30000000000001</v>
      </c>
      <c r="DL23" s="52">
        <v>169.3</v>
      </c>
      <c r="DM23" s="52">
        <v>168.5</v>
      </c>
      <c r="DN23" s="52">
        <v>186.1</v>
      </c>
      <c r="DO23" s="52">
        <v>225.7</v>
      </c>
      <c r="DP23" s="52">
        <v>192</v>
      </c>
      <c r="DQ23" s="51">
        <v>202.9</v>
      </c>
      <c r="DR23" s="51">
        <f>+DN23*1.1</f>
        <v>204.71</v>
      </c>
      <c r="DS23" s="51">
        <v>124.6</v>
      </c>
      <c r="DT23" s="51">
        <f t="shared" ref="DT23:DV23" si="69">+DP23*1.1</f>
        <v>211.20000000000002</v>
      </c>
      <c r="DU23" s="51">
        <f t="shared" si="69"/>
        <v>223.19000000000003</v>
      </c>
      <c r="DV23" s="51">
        <f t="shared" si="69"/>
        <v>225.18100000000004</v>
      </c>
      <c r="DW23" s="49"/>
      <c r="DX23" s="98"/>
      <c r="DY23" s="98"/>
      <c r="DZ23" s="98"/>
      <c r="EA23" s="98"/>
      <c r="EB23" s="98"/>
      <c r="EC23" s="98"/>
      <c r="ED23" s="98"/>
      <c r="EE23" s="98"/>
      <c r="EF23" s="98"/>
      <c r="EG23" s="98"/>
      <c r="EH23" s="98"/>
      <c r="EI23" s="98"/>
      <c r="EJ23" s="98"/>
      <c r="EK23" s="98"/>
      <c r="EL23" s="98"/>
      <c r="EM23" s="98"/>
      <c r="EN23" s="97"/>
      <c r="EO23" s="97"/>
      <c r="EP23" s="97"/>
      <c r="EQ23" s="97"/>
      <c r="ER23" s="97"/>
      <c r="ES23" s="97"/>
      <c r="ET23" s="97"/>
      <c r="EU23" s="97"/>
      <c r="EV23" s="97"/>
      <c r="EW23" s="97"/>
      <c r="EX23" s="97"/>
      <c r="EY23" s="97"/>
      <c r="EZ23" s="97"/>
      <c r="FA23" s="97"/>
      <c r="FB23" s="97"/>
      <c r="FC23" s="97"/>
      <c r="FD23" s="51">
        <v>0</v>
      </c>
      <c r="FE23" s="49">
        <f t="shared" si="18"/>
        <v>4.9000000000000004</v>
      </c>
      <c r="FF23" s="49">
        <f t="shared" si="19"/>
        <v>162.5</v>
      </c>
      <c r="FG23" s="49">
        <f t="shared" si="15"/>
        <v>362.8</v>
      </c>
      <c r="FH23" s="49">
        <f t="shared" si="16"/>
        <v>577.29999999999995</v>
      </c>
      <c r="FI23" s="49">
        <f t="shared" si="9"/>
        <v>650.9</v>
      </c>
      <c r="FJ23" s="49">
        <f t="shared" si="10"/>
        <v>678.2</v>
      </c>
      <c r="FK23" s="49">
        <f>SUM(Model!DO23:DR23)</f>
        <v>825.31000000000006</v>
      </c>
      <c r="FL23" s="49">
        <f t="shared" si="20"/>
        <v>784.17100000000005</v>
      </c>
      <c r="FM23" s="49">
        <f t="shared" ref="FM23:FQ23" si="70">+FL23*1.01</f>
        <v>792.01271000000008</v>
      </c>
      <c r="FN23" s="49">
        <f t="shared" si="70"/>
        <v>799.93283710000014</v>
      </c>
      <c r="FO23" s="49">
        <f t="shared" si="70"/>
        <v>807.93216547100019</v>
      </c>
      <c r="FP23" s="49">
        <f t="shared" si="70"/>
        <v>816.01148712571023</v>
      </c>
      <c r="FQ23" s="49">
        <f t="shared" si="70"/>
        <v>824.1716019969673</v>
      </c>
      <c r="FR23" s="49">
        <f t="shared" ref="FR23" si="71">+FQ23*1.01</f>
        <v>832.41331801693696</v>
      </c>
      <c r="FS23" s="49">
        <f t="shared" ref="FS23" si="72">+FR23*1.01</f>
        <v>840.73745119710634</v>
      </c>
      <c r="FT23" s="49">
        <f t="shared" ref="FT23" si="73">+FS23*1.01</f>
        <v>849.1448257090774</v>
      </c>
      <c r="FU23" s="49">
        <f t="shared" ref="FU23" si="74">+FT23*1.01</f>
        <v>857.63627396616823</v>
      </c>
      <c r="FV23" s="49">
        <f t="shared" ref="FV23" si="75">+FU23*1.01</f>
        <v>866.21263670582994</v>
      </c>
    </row>
    <row r="24" spans="1:178" x14ac:dyDescent="0.25">
      <c r="A24" s="102"/>
      <c r="B24" s="38" t="s">
        <v>367</v>
      </c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>
        <v>131.5</v>
      </c>
      <c r="CR24" s="51">
        <v>134.1</v>
      </c>
      <c r="CS24" s="51">
        <v>140.4</v>
      </c>
      <c r="CT24" s="51"/>
      <c r="CU24" s="51">
        <v>122.1</v>
      </c>
      <c r="CV24" s="51">
        <v>141.19999999999999</v>
      </c>
      <c r="CW24" s="51">
        <v>132.1</v>
      </c>
      <c r="CX24" s="51">
        <f>293.7+230.1-CW24-CV24-CU24-CW35</f>
        <v>122.19999999999995</v>
      </c>
      <c r="CY24" s="51">
        <v>17.8</v>
      </c>
      <c r="CZ24" s="51">
        <v>15</v>
      </c>
      <c r="DA24" s="51">
        <v>17.2</v>
      </c>
      <c r="DB24" s="51">
        <v>20</v>
      </c>
      <c r="DC24" s="51">
        <v>20.6</v>
      </c>
      <c r="DD24" s="51">
        <v>25.4</v>
      </c>
      <c r="DE24" s="51">
        <v>39</v>
      </c>
      <c r="DF24" s="51">
        <v>36.6</v>
      </c>
      <c r="DG24" s="51">
        <f>144.6-DG35</f>
        <v>144.6</v>
      </c>
      <c r="DH24" s="51">
        <f>170-DH35-DH6</f>
        <v>154</v>
      </c>
      <c r="DI24" s="51">
        <f>173.4-DI35</f>
        <v>130.4</v>
      </c>
      <c r="DJ24" s="51">
        <f>268.4+367.8-DI24-DH24-DG24-DJ35-DI35</f>
        <v>121.20000000000007</v>
      </c>
      <c r="DK24" s="51">
        <v>27.8</v>
      </c>
      <c r="DL24" s="51">
        <v>136.6</v>
      </c>
      <c r="DM24" s="51">
        <v>141.9</v>
      </c>
      <c r="DN24" s="51">
        <f>175+355.2-DM24-DL24-DK24</f>
        <v>223.90000000000006</v>
      </c>
      <c r="DO24" s="51">
        <v>34.9</v>
      </c>
      <c r="DP24" s="51">
        <v>52.9</v>
      </c>
      <c r="DQ24" s="51">
        <f>53.7-DQ35</f>
        <v>40.300000000000004</v>
      </c>
      <c r="DR24" s="51">
        <f>+DN24</f>
        <v>223.90000000000006</v>
      </c>
      <c r="DS24" s="51">
        <v>-15.7</v>
      </c>
      <c r="DT24" s="51">
        <f t="shared" ref="DT24:DT28" si="76">+DP24</f>
        <v>52.9</v>
      </c>
      <c r="DU24" s="51">
        <f t="shared" ref="DU24:DU28" si="77">+DQ24</f>
        <v>40.300000000000004</v>
      </c>
      <c r="DV24" s="51">
        <f t="shared" ref="DV24:DV28" si="78">+DR24</f>
        <v>223.90000000000006</v>
      </c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>
        <v>0</v>
      </c>
      <c r="FA24" s="51">
        <v>0</v>
      </c>
      <c r="FB24" s="51">
        <v>0</v>
      </c>
      <c r="FC24" s="51">
        <v>0</v>
      </c>
      <c r="FD24" s="51">
        <f>380.9+307.7</f>
        <v>688.59999999999991</v>
      </c>
      <c r="FE24" s="49">
        <f>292.7+272.5</f>
        <v>565.20000000000005</v>
      </c>
      <c r="FF24" s="49">
        <f t="shared" si="19"/>
        <v>517.59999999999991</v>
      </c>
      <c r="FG24" s="49">
        <f t="shared" si="15"/>
        <v>70</v>
      </c>
      <c r="FH24" s="49">
        <f t="shared" si="16"/>
        <v>121.6</v>
      </c>
      <c r="FI24" s="49">
        <f t="shared" si="9"/>
        <v>550.20000000000005</v>
      </c>
      <c r="FJ24" s="49">
        <f t="shared" si="10"/>
        <v>530.20000000000005</v>
      </c>
      <c r="FK24" s="49">
        <f>SUM(Model!DO24:DR24)</f>
        <v>352.00000000000006</v>
      </c>
      <c r="FL24" s="49">
        <f t="shared" si="20"/>
        <v>301.40000000000009</v>
      </c>
      <c r="FM24" s="49">
        <f t="shared" ref="FM24:FQ24" si="79">+FL24*0.9</f>
        <v>271.2600000000001</v>
      </c>
      <c r="FN24" s="49">
        <f t="shared" si="79"/>
        <v>244.1340000000001</v>
      </c>
      <c r="FO24" s="49">
        <f t="shared" si="79"/>
        <v>219.7206000000001</v>
      </c>
      <c r="FP24" s="49">
        <f t="shared" si="79"/>
        <v>197.74854000000011</v>
      </c>
      <c r="FQ24" s="49">
        <f t="shared" si="79"/>
        <v>177.9736860000001</v>
      </c>
      <c r="FR24" s="49">
        <f t="shared" ref="FR24:FR33" si="80">+FQ24*0.9</f>
        <v>160.1763174000001</v>
      </c>
      <c r="FS24" s="49">
        <f t="shared" ref="FS24:FS33" si="81">+FR24*0.9</f>
        <v>144.15868566000009</v>
      </c>
      <c r="FT24" s="49">
        <f t="shared" ref="FT24:FT33" si="82">+FS24*0.9</f>
        <v>129.74281709400009</v>
      </c>
      <c r="FU24" s="49">
        <f t="shared" ref="FU24:FU33" si="83">+FT24*0.9</f>
        <v>116.76853538460009</v>
      </c>
      <c r="FV24" s="49">
        <f t="shared" ref="FV24:FV33" si="84">+FU24*0.9</f>
        <v>105.09168184614008</v>
      </c>
    </row>
    <row r="25" spans="1:178" x14ac:dyDescent="0.25">
      <c r="A25" s="102"/>
      <c r="B25" s="38" t="s">
        <v>256</v>
      </c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>
        <v>99.7</v>
      </c>
      <c r="BI25" s="51">
        <v>101.9</v>
      </c>
      <c r="BJ25" s="51">
        <v>95</v>
      </c>
      <c r="BK25" s="51">
        <v>92.4</v>
      </c>
      <c r="BL25" s="51">
        <v>103.8</v>
      </c>
      <c r="BM25" s="51">
        <v>95.4</v>
      </c>
      <c r="BN25" s="51">
        <v>94.5</v>
      </c>
      <c r="BO25" s="51">
        <v>104</v>
      </c>
      <c r="BP25" s="51">
        <v>100.1</v>
      </c>
      <c r="BQ25" s="51">
        <v>97.2</v>
      </c>
      <c r="BR25" s="51">
        <v>107.9</v>
      </c>
      <c r="BS25" s="51">
        <v>113.3</v>
      </c>
      <c r="BT25" s="51">
        <v>110</v>
      </c>
      <c r="BU25" s="51">
        <v>86.6</v>
      </c>
      <c r="BV25" s="52"/>
      <c r="BW25" s="52"/>
      <c r="BX25" s="52"/>
      <c r="BY25" s="52"/>
      <c r="BZ25" s="52"/>
      <c r="CA25" s="52"/>
      <c r="CB25" s="52"/>
      <c r="CC25" s="52"/>
      <c r="CD25" s="52">
        <v>96</v>
      </c>
      <c r="CE25" s="52">
        <v>88.2</v>
      </c>
      <c r="CF25" s="52">
        <v>134.6</v>
      </c>
      <c r="CG25" s="52">
        <v>85.9</v>
      </c>
      <c r="CH25" s="52">
        <v>176.2</v>
      </c>
      <c r="CI25" s="52">
        <v>168.1</v>
      </c>
      <c r="CJ25" s="52">
        <v>180.6</v>
      </c>
      <c r="CK25" s="52">
        <v>184.6</v>
      </c>
      <c r="CL25" s="52">
        <v>153.69999999999999</v>
      </c>
      <c r="CM25" s="52">
        <v>154.4</v>
      </c>
      <c r="CN25" s="52">
        <v>159.1</v>
      </c>
      <c r="CO25" s="52">
        <v>163.5</v>
      </c>
      <c r="CP25" s="52">
        <v>168.9</v>
      </c>
      <c r="CQ25" s="52">
        <v>149.6</v>
      </c>
      <c r="CR25" s="52">
        <v>166.4</v>
      </c>
      <c r="CS25" s="52">
        <v>159.5</v>
      </c>
      <c r="CT25" s="52">
        <v>159.80000000000001</v>
      </c>
      <c r="CU25" s="52">
        <v>118.4</v>
      </c>
      <c r="CV25" s="52">
        <v>159.30000000000001</v>
      </c>
      <c r="CW25" s="52">
        <v>128.6</v>
      </c>
      <c r="CX25" s="52">
        <f>543.4-CW25-CV25-CU25</f>
        <v>137.09999999999994</v>
      </c>
      <c r="CY25" s="52">
        <v>130.80000000000001</v>
      </c>
      <c r="CZ25" s="52">
        <v>129.5</v>
      </c>
      <c r="DA25" s="52">
        <v>136.4</v>
      </c>
      <c r="DB25" s="52">
        <f>480.1+56.3-DA25-CZ25-CY25</f>
        <v>139.69999999999999</v>
      </c>
      <c r="DC25" s="52">
        <v>122.4</v>
      </c>
      <c r="DD25" s="52">
        <v>147</v>
      </c>
      <c r="DE25" s="52">
        <v>134.30000000000001</v>
      </c>
      <c r="DF25" s="52">
        <f>548.3-DE25-DD25-DC25</f>
        <v>144.59999999999994</v>
      </c>
      <c r="DG25" s="52">
        <v>122.7</v>
      </c>
      <c r="DH25" s="52">
        <v>140.80000000000001</v>
      </c>
      <c r="DI25" s="52">
        <v>144.9</v>
      </c>
      <c r="DJ25" s="52">
        <f>566.5-DI25-DH25-DG25</f>
        <v>158.10000000000002</v>
      </c>
      <c r="DK25" s="52">
        <v>129.9</v>
      </c>
      <c r="DL25" s="52">
        <v>162.5</v>
      </c>
      <c r="DM25" s="52">
        <v>153.9</v>
      </c>
      <c r="DN25" s="52">
        <f>596.5-DM25-DL25-DK25</f>
        <v>150.20000000000002</v>
      </c>
      <c r="DO25" s="52">
        <v>144.6</v>
      </c>
      <c r="DP25" s="52">
        <v>155.80000000000001</v>
      </c>
      <c r="DQ25" s="51">
        <v>152</v>
      </c>
      <c r="DR25" s="51">
        <f>+DN25</f>
        <v>150.20000000000002</v>
      </c>
      <c r="DS25" s="51">
        <v>149</v>
      </c>
      <c r="DT25" s="51">
        <f t="shared" si="76"/>
        <v>155.80000000000001</v>
      </c>
      <c r="DU25" s="51">
        <f t="shared" si="77"/>
        <v>152</v>
      </c>
      <c r="DV25" s="51">
        <f t="shared" si="78"/>
        <v>150.20000000000002</v>
      </c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51"/>
      <c r="EO25" s="51"/>
      <c r="EP25" s="51"/>
      <c r="EQ25" s="51"/>
      <c r="ER25" s="51"/>
      <c r="ES25" s="51"/>
      <c r="ET25" s="51"/>
      <c r="EU25" s="51"/>
      <c r="EV25" s="51">
        <f>SUM(BG25:BJ25)</f>
        <v>296.60000000000002</v>
      </c>
      <c r="EW25" s="51">
        <f>SUM(BK25:BN25)</f>
        <v>386.1</v>
      </c>
      <c r="EX25" s="51">
        <f>SUM(BO25:BR25)</f>
        <v>409.20000000000005</v>
      </c>
      <c r="EY25" s="51">
        <f>SUM(BS25:BV25)</f>
        <v>309.89999999999998</v>
      </c>
      <c r="EZ25" s="51">
        <v>373.7</v>
      </c>
      <c r="FA25" s="51">
        <v>373.3</v>
      </c>
      <c r="FB25" s="51">
        <v>485</v>
      </c>
      <c r="FC25" s="51">
        <v>687</v>
      </c>
      <c r="FD25" s="51">
        <v>645.9</v>
      </c>
      <c r="FE25" s="49">
        <f>SUM(CQ25:CT25)</f>
        <v>635.29999999999995</v>
      </c>
      <c r="FF25" s="49">
        <f t="shared" si="19"/>
        <v>543.4</v>
      </c>
      <c r="FG25" s="49">
        <f t="shared" si="15"/>
        <v>536.40000000000009</v>
      </c>
      <c r="FH25" s="49">
        <f t="shared" si="16"/>
        <v>548.29999999999995</v>
      </c>
      <c r="FI25" s="49">
        <f t="shared" si="9"/>
        <v>566.5</v>
      </c>
      <c r="FJ25" s="49">
        <f t="shared" si="10"/>
        <v>596.5</v>
      </c>
      <c r="FK25" s="49">
        <f>SUM(Model!DO25:DR25)</f>
        <v>602.6</v>
      </c>
      <c r="FL25" s="49">
        <f t="shared" si="20"/>
        <v>607</v>
      </c>
      <c r="FM25" s="49">
        <f t="shared" ref="FM25:FQ25" si="85">+FL25*0.9</f>
        <v>546.30000000000007</v>
      </c>
      <c r="FN25" s="49">
        <f t="shared" si="85"/>
        <v>491.67000000000007</v>
      </c>
      <c r="FO25" s="49">
        <f t="shared" si="85"/>
        <v>442.5030000000001</v>
      </c>
      <c r="FP25" s="49">
        <f t="shared" si="85"/>
        <v>398.25270000000012</v>
      </c>
      <c r="FQ25" s="49">
        <f t="shared" si="85"/>
        <v>358.42743000000013</v>
      </c>
      <c r="FR25" s="49">
        <f t="shared" si="80"/>
        <v>322.58468700000014</v>
      </c>
      <c r="FS25" s="49">
        <f t="shared" si="81"/>
        <v>290.32621830000016</v>
      </c>
      <c r="FT25" s="49">
        <f t="shared" si="82"/>
        <v>261.29359647000018</v>
      </c>
      <c r="FU25" s="49">
        <f t="shared" si="83"/>
        <v>235.16423682300018</v>
      </c>
      <c r="FV25" s="49">
        <f t="shared" si="84"/>
        <v>211.64781314070018</v>
      </c>
    </row>
    <row r="26" spans="1:178" x14ac:dyDescent="0.25">
      <c r="A26" s="102"/>
      <c r="B26" t="s">
        <v>77</v>
      </c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>
        <f>94.1-CQ47</f>
        <v>29.699999999999989</v>
      </c>
      <c r="CR26" s="51">
        <v>111.3</v>
      </c>
      <c r="CS26" s="51">
        <v>101.3</v>
      </c>
      <c r="CT26" s="51"/>
      <c r="CU26" s="52">
        <f>87.4-CU30</f>
        <v>77.5</v>
      </c>
      <c r="CV26" s="51">
        <f>84.4-CV30</f>
        <v>44.300000000000004</v>
      </c>
      <c r="CW26" s="51">
        <f>113.4-CW30-CW35</f>
        <v>60.600000000000009</v>
      </c>
      <c r="CX26" s="51">
        <f>111+339.3-CW26-CV26-CU26-CU30-CV30-CW30-CX30</f>
        <v>133.9</v>
      </c>
      <c r="CY26" s="51">
        <v>26.2</v>
      </c>
      <c r="CZ26" s="51">
        <v>64.3</v>
      </c>
      <c r="DA26" s="51">
        <v>35.9</v>
      </c>
      <c r="DB26" s="51">
        <v>36.200000000000003</v>
      </c>
      <c r="DC26" s="51">
        <v>54.8</v>
      </c>
      <c r="DD26" s="51">
        <v>55.7</v>
      </c>
      <c r="DE26" s="51">
        <v>66.7</v>
      </c>
      <c r="DF26" s="51">
        <v>38.5</v>
      </c>
      <c r="DG26" s="51">
        <f>101.2-DG34</f>
        <v>59.400000000000006</v>
      </c>
      <c r="DH26" s="51">
        <f>106.8-DH34</f>
        <v>61.8</v>
      </c>
      <c r="DI26" s="51">
        <f>102.4-DI34</f>
        <v>61.900000000000006</v>
      </c>
      <c r="DJ26" s="51">
        <f>423.8-DI26-DH26-DG26-DJ34-DI34-DH34-DG34</f>
        <v>48.799999999999969</v>
      </c>
      <c r="DK26" s="51">
        <v>34.4</v>
      </c>
      <c r="DL26" s="51">
        <f>260.5-DL34-DL30</f>
        <v>91.5</v>
      </c>
      <c r="DM26" s="51">
        <f>275.4-DM34-DM30</f>
        <v>96.899999999999977</v>
      </c>
      <c r="DN26" s="51">
        <v>103</v>
      </c>
      <c r="DO26" s="51">
        <v>49.1</v>
      </c>
      <c r="DP26" s="51">
        <v>53</v>
      </c>
      <c r="DQ26" s="51">
        <v>52.1</v>
      </c>
      <c r="DR26" s="51">
        <f t="shared" si="50"/>
        <v>103</v>
      </c>
      <c r="DS26" s="51">
        <v>46.9</v>
      </c>
      <c r="DT26" s="51">
        <f t="shared" si="76"/>
        <v>53</v>
      </c>
      <c r="DU26" s="51">
        <f t="shared" si="77"/>
        <v>52.1</v>
      </c>
      <c r="DV26" s="51">
        <f t="shared" si="78"/>
        <v>103</v>
      </c>
      <c r="DW26" s="49"/>
      <c r="DX26" s="49"/>
      <c r="DY26" s="49"/>
      <c r="DZ26" s="49"/>
      <c r="EA26" s="49"/>
      <c r="EB26" s="49"/>
      <c r="EC26" s="49"/>
      <c r="ED26" s="49"/>
      <c r="EE26" s="49"/>
      <c r="EF26" s="49"/>
      <c r="EG26" s="49"/>
      <c r="EH26" s="49"/>
      <c r="EI26" s="49"/>
      <c r="EJ26" s="49"/>
      <c r="EK26" s="49"/>
      <c r="EL26" s="49"/>
      <c r="EM26" s="49"/>
      <c r="EN26" s="51"/>
      <c r="EO26" s="51">
        <v>19</v>
      </c>
      <c r="EP26" s="51">
        <v>19</v>
      </c>
      <c r="EQ26" s="51">
        <v>9</v>
      </c>
      <c r="ER26" s="51">
        <v>3</v>
      </c>
      <c r="ES26" s="51"/>
      <c r="ET26" s="51"/>
      <c r="EU26" s="51"/>
      <c r="EV26" s="51"/>
      <c r="EW26" s="51"/>
      <c r="EX26" s="51"/>
      <c r="FD26" s="51">
        <f>174.6+149.6</f>
        <v>324.2</v>
      </c>
      <c r="FE26" s="49">
        <f>215.1+200.6</f>
        <v>415.7</v>
      </c>
      <c r="FF26" s="49">
        <f t="shared" si="19"/>
        <v>316.30000000000007</v>
      </c>
      <c r="FG26" s="49">
        <f t="shared" si="15"/>
        <v>162.60000000000002</v>
      </c>
      <c r="FH26" s="49">
        <f t="shared" si="16"/>
        <v>215.7</v>
      </c>
      <c r="FI26" s="49">
        <f t="shared" si="9"/>
        <v>231.89999999999998</v>
      </c>
      <c r="FJ26" s="49">
        <f t="shared" si="10"/>
        <v>325.79999999999995</v>
      </c>
      <c r="FK26" s="49">
        <f>SUM(Model!DO26:DR26)</f>
        <v>257.2</v>
      </c>
      <c r="FL26" s="49">
        <f t="shared" si="20"/>
        <v>255</v>
      </c>
      <c r="FM26" s="49">
        <f t="shared" ref="FM26:FQ26" si="86">+FL26*0.9</f>
        <v>229.5</v>
      </c>
      <c r="FN26" s="49">
        <f t="shared" si="86"/>
        <v>206.55</v>
      </c>
      <c r="FO26" s="49">
        <f t="shared" si="86"/>
        <v>185.89500000000001</v>
      </c>
      <c r="FP26" s="49">
        <f t="shared" si="86"/>
        <v>167.30550000000002</v>
      </c>
      <c r="FQ26" s="49">
        <f t="shared" si="86"/>
        <v>150.57495000000003</v>
      </c>
      <c r="FR26" s="49">
        <f t="shared" si="80"/>
        <v>135.51745500000004</v>
      </c>
      <c r="FS26" s="49">
        <f t="shared" si="81"/>
        <v>121.96570950000005</v>
      </c>
      <c r="FT26" s="49">
        <f t="shared" si="82"/>
        <v>109.76913855000004</v>
      </c>
      <c r="FU26" s="49">
        <f t="shared" si="83"/>
        <v>98.79222469500003</v>
      </c>
      <c r="FV26" s="49">
        <f t="shared" si="84"/>
        <v>88.913002225500023</v>
      </c>
    </row>
    <row r="27" spans="1:178" x14ac:dyDescent="0.25">
      <c r="A27" s="102"/>
      <c r="B27" t="s">
        <v>16</v>
      </c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51">
        <v>4.0999999999999996</v>
      </c>
      <c r="AJ27" s="51">
        <v>13.7</v>
      </c>
      <c r="AK27" s="51">
        <v>21.6</v>
      </c>
      <c r="AL27" s="51">
        <f>65.3-AK27-AJ27-AI27</f>
        <v>25.9</v>
      </c>
      <c r="AM27" s="51">
        <v>40.799999999999997</v>
      </c>
      <c r="AN27" s="51">
        <v>65.3</v>
      </c>
      <c r="AO27" s="51">
        <v>58.1</v>
      </c>
      <c r="AP27" s="51">
        <v>74.3</v>
      </c>
      <c r="AQ27" s="51">
        <v>67</v>
      </c>
      <c r="AR27" s="51">
        <v>101.9</v>
      </c>
      <c r="AS27" s="51">
        <v>102.6</v>
      </c>
      <c r="AT27" s="51">
        <v>118</v>
      </c>
      <c r="AU27" s="51">
        <v>127</v>
      </c>
      <c r="AV27" s="51">
        <v>146</v>
      </c>
      <c r="AW27" s="51">
        <v>149</v>
      </c>
      <c r="AX27" s="51">
        <v>172.1</v>
      </c>
      <c r="AY27" s="51">
        <v>153.4</v>
      </c>
      <c r="AZ27" s="51">
        <v>177.2</v>
      </c>
      <c r="BA27" s="51">
        <v>180.5</v>
      </c>
      <c r="BB27" s="51">
        <v>198.2</v>
      </c>
      <c r="BC27" s="51">
        <v>185</v>
      </c>
      <c r="BD27" s="51">
        <v>206.6</v>
      </c>
      <c r="BE27" s="51">
        <v>192.7</v>
      </c>
      <c r="BF27" s="51">
        <v>194.5</v>
      </c>
      <c r="BG27" s="51">
        <v>187.5</v>
      </c>
      <c r="BH27" s="51">
        <v>203.3</v>
      </c>
      <c r="BI27" s="51">
        <v>213.1</v>
      </c>
      <c r="BJ27" s="51">
        <v>212.8</v>
      </c>
      <c r="BK27" s="51">
        <v>194.5</v>
      </c>
      <c r="BL27" s="51">
        <v>209.6</v>
      </c>
      <c r="BM27" s="51">
        <v>199.7</v>
      </c>
      <c r="BN27" s="51">
        <v>226.3</v>
      </c>
      <c r="BO27" s="51">
        <v>216.1</v>
      </c>
      <c r="BP27" s="51">
        <v>231</v>
      </c>
      <c r="BQ27" s="51">
        <v>240.3</v>
      </c>
      <c r="BR27" s="51">
        <v>262.5</v>
      </c>
      <c r="BS27" s="51">
        <v>271.3</v>
      </c>
      <c r="BT27" s="51">
        <v>276.39999999999998</v>
      </c>
      <c r="BU27" s="51">
        <v>288.7</v>
      </c>
      <c r="BV27" s="51">
        <v>314.60000000000002</v>
      </c>
      <c r="BW27" s="51">
        <v>281.5</v>
      </c>
      <c r="BX27" s="51">
        <v>296.89999999999998</v>
      </c>
      <c r="BY27" s="51">
        <v>306.7</v>
      </c>
      <c r="BZ27" s="51">
        <v>359.8</v>
      </c>
      <c r="CA27" s="51">
        <v>300.39999999999998</v>
      </c>
      <c r="CB27" s="51">
        <v>308.60000000000002</v>
      </c>
      <c r="CC27" s="51">
        <v>332.2</v>
      </c>
      <c r="CD27" s="51">
        <v>380.8</v>
      </c>
      <c r="CE27" s="51">
        <v>293</v>
      </c>
      <c r="CF27" s="51">
        <v>328.4</v>
      </c>
      <c r="CG27" s="51">
        <v>348.9</v>
      </c>
      <c r="CH27" s="51">
        <v>377.9</v>
      </c>
      <c r="CI27" s="51">
        <v>318.60000000000002</v>
      </c>
      <c r="CJ27" s="51">
        <v>367.6</v>
      </c>
      <c r="CK27" s="51">
        <v>391.2</v>
      </c>
      <c r="CL27" s="51">
        <v>422.5</v>
      </c>
      <c r="CM27" s="51">
        <v>347.5</v>
      </c>
      <c r="CN27" s="51">
        <v>446.7</v>
      </c>
      <c r="CO27" s="51">
        <v>441.7</v>
      </c>
      <c r="CP27" s="51">
        <v>513.20000000000005</v>
      </c>
      <c r="CQ27" s="51">
        <v>313.2</v>
      </c>
      <c r="CR27" s="51">
        <v>434.5</v>
      </c>
      <c r="CS27" s="51">
        <v>390.8</v>
      </c>
      <c r="CT27" s="51">
        <v>437.1</v>
      </c>
      <c r="CU27" s="51">
        <v>312.89999999999998</v>
      </c>
      <c r="CV27" s="51">
        <v>360.8</v>
      </c>
      <c r="CW27" s="51">
        <v>370.7</v>
      </c>
      <c r="CX27" s="51">
        <v>360.2</v>
      </c>
      <c r="CY27" s="51">
        <v>272.39999999999998</v>
      </c>
      <c r="CZ27" s="51">
        <v>252.7</v>
      </c>
      <c r="DA27" s="51">
        <v>266.89999999999998</v>
      </c>
      <c r="DB27" s="51">
        <v>254.4</v>
      </c>
      <c r="DC27" s="51">
        <v>198.5</v>
      </c>
      <c r="DD27" s="51">
        <v>218.4</v>
      </c>
      <c r="DE27" s="51">
        <v>200.9</v>
      </c>
      <c r="DF27" s="51">
        <v>184</v>
      </c>
      <c r="DG27" s="51">
        <v>137.4</v>
      </c>
      <c r="DH27" s="51">
        <v>138.5</v>
      </c>
      <c r="DI27" s="51">
        <v>177.1</v>
      </c>
      <c r="DJ27" s="51">
        <v>160</v>
      </c>
      <c r="DK27" s="51">
        <v>122.3</v>
      </c>
      <c r="DL27" s="51">
        <v>148</v>
      </c>
      <c r="DM27" s="51">
        <v>146.4</v>
      </c>
      <c r="DN27" s="51">
        <f>533.2-DM27-DL27-DK27</f>
        <v>116.50000000000007</v>
      </c>
      <c r="DO27" s="51">
        <v>61.3</v>
      </c>
      <c r="DP27" s="51">
        <v>69.900000000000006</v>
      </c>
      <c r="DQ27" s="51">
        <v>118.1</v>
      </c>
      <c r="DR27" s="51">
        <f t="shared" si="50"/>
        <v>116.50000000000007</v>
      </c>
      <c r="DS27" s="51">
        <v>66.599999999999994</v>
      </c>
      <c r="DT27" s="51">
        <f t="shared" si="76"/>
        <v>69.900000000000006</v>
      </c>
      <c r="DU27" s="51">
        <f t="shared" si="77"/>
        <v>118.1</v>
      </c>
      <c r="DV27" s="51">
        <f t="shared" si="78"/>
        <v>116.50000000000007</v>
      </c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51"/>
      <c r="EO27" s="51">
        <v>6</v>
      </c>
      <c r="EP27" s="51">
        <v>65</v>
      </c>
      <c r="EQ27" s="51">
        <v>237</v>
      </c>
      <c r="ER27" s="51">
        <v>389</v>
      </c>
      <c r="ES27" s="51">
        <v>581</v>
      </c>
      <c r="ET27" s="51">
        <f>ES27*1.05</f>
        <v>610.05000000000007</v>
      </c>
      <c r="EU27" s="51">
        <f>SUM(BC27:BF27)</f>
        <v>778.8</v>
      </c>
      <c r="EV27" s="51">
        <f>SUM(BG27:BJ27)</f>
        <v>816.7</v>
      </c>
      <c r="EW27" s="51">
        <f>SUM(BK27:BN27)</f>
        <v>830.09999999999991</v>
      </c>
      <c r="EX27" s="51">
        <f>SUM(BO27:BR27)</f>
        <v>949.90000000000009</v>
      </c>
      <c r="EY27" s="51">
        <f>SUM(BS27:BV27)</f>
        <v>1151</v>
      </c>
      <c r="EZ27" s="51">
        <v>1244.9000000000001</v>
      </c>
      <c r="FA27" s="51">
        <v>1322</v>
      </c>
      <c r="FB27" s="51">
        <v>1348.3</v>
      </c>
      <c r="FC27" s="51">
        <v>1500</v>
      </c>
      <c r="FD27" s="51">
        <v>1749</v>
      </c>
      <c r="FE27" s="49">
        <f>SUM(CQ27:CT27)</f>
        <v>1575.6</v>
      </c>
      <c r="FF27" s="49">
        <f t="shared" si="19"/>
        <v>1404.6000000000001</v>
      </c>
      <c r="FG27" s="49">
        <f t="shared" si="15"/>
        <v>1046.3999999999999</v>
      </c>
      <c r="FH27" s="49">
        <f t="shared" si="16"/>
        <v>801.8</v>
      </c>
      <c r="FI27" s="49">
        <f t="shared" si="9"/>
        <v>613</v>
      </c>
      <c r="FJ27" s="49">
        <f t="shared" si="10"/>
        <v>533.20000000000016</v>
      </c>
      <c r="FK27" s="49">
        <f>SUM(Model!DO27:DR27)</f>
        <v>365.80000000000007</v>
      </c>
      <c r="FL27" s="49">
        <f t="shared" si="20"/>
        <v>371.10000000000008</v>
      </c>
      <c r="FM27" s="49">
        <f t="shared" ref="FM27:FQ27" si="87">+FL27*0.9</f>
        <v>333.99000000000007</v>
      </c>
      <c r="FN27" s="49">
        <f t="shared" si="87"/>
        <v>300.59100000000007</v>
      </c>
      <c r="FO27" s="49">
        <f t="shared" si="87"/>
        <v>270.53190000000006</v>
      </c>
      <c r="FP27" s="49">
        <f t="shared" si="87"/>
        <v>243.47871000000006</v>
      </c>
      <c r="FQ27" s="49">
        <f t="shared" si="87"/>
        <v>219.13083900000007</v>
      </c>
      <c r="FR27" s="49">
        <f t="shared" si="80"/>
        <v>197.21775510000006</v>
      </c>
      <c r="FS27" s="49">
        <f t="shared" si="81"/>
        <v>177.49597959000005</v>
      </c>
      <c r="FT27" s="49">
        <f t="shared" si="82"/>
        <v>159.74638163100005</v>
      </c>
      <c r="FU27" s="49">
        <f t="shared" si="83"/>
        <v>143.77174346790005</v>
      </c>
      <c r="FV27" s="49">
        <f t="shared" si="84"/>
        <v>129.39456912111004</v>
      </c>
    </row>
    <row r="28" spans="1:178" x14ac:dyDescent="0.25">
      <c r="A28" s="102"/>
      <c r="B28" t="s">
        <v>78</v>
      </c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>
        <f>4459.9-SUM(AX29:AX69)</f>
        <v>1686.4532721010328</v>
      </c>
      <c r="AY28" s="51">
        <v>406</v>
      </c>
      <c r="AZ28" s="51"/>
      <c r="BA28" s="51">
        <f>4587-(SUM(BA29:BA69))</f>
        <v>1697.9</v>
      </c>
      <c r="BB28" s="51">
        <f>5189.6-(SUM(BB29:BB69))</f>
        <v>1904.6000000000004</v>
      </c>
      <c r="BC28" s="51">
        <f>4807.6-(SUM(BC29:BC69))</f>
        <v>2080.2000000000007</v>
      </c>
      <c r="BD28" s="51">
        <f>5150.4-(SUM(BD29:BD69))</f>
        <v>2045.4999999999995</v>
      </c>
      <c r="BE28" s="51">
        <f>5209.5-(SUM(BE29:BE69))</f>
        <v>2061.9000000000005</v>
      </c>
      <c r="BN28" s="51">
        <v>432</v>
      </c>
      <c r="BP28" s="51">
        <v>422</v>
      </c>
      <c r="BQ28" s="51">
        <v>410</v>
      </c>
      <c r="BR28" s="51">
        <v>407</v>
      </c>
      <c r="BS28" s="51">
        <v>552</v>
      </c>
      <c r="BT28" s="51">
        <v>524</v>
      </c>
      <c r="BU28" s="51">
        <f>5443.3-4955</f>
        <v>488.30000000000018</v>
      </c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>
        <v>161.69999999999999</v>
      </c>
      <c r="CR28" s="51">
        <v>245.6</v>
      </c>
      <c r="CS28" s="51">
        <v>191</v>
      </c>
      <c r="CT28" s="51"/>
      <c r="CU28" s="51">
        <v>113.4</v>
      </c>
      <c r="CV28" s="51">
        <v>123.3</v>
      </c>
      <c r="CW28" s="51">
        <v>119.2</v>
      </c>
      <c r="CX28" s="51">
        <f>156.2+327.7-CW28-CV28-CU28</f>
        <v>127.99999999999997</v>
      </c>
      <c r="CY28" s="51">
        <v>86</v>
      </c>
      <c r="CZ28" s="51">
        <v>51.4</v>
      </c>
      <c r="DA28" s="51">
        <v>46.3</v>
      </c>
      <c r="DB28" s="51">
        <v>88</v>
      </c>
      <c r="DC28" s="51">
        <v>42.6</v>
      </c>
      <c r="DD28" s="51">
        <v>42.2</v>
      </c>
      <c r="DE28" s="51">
        <v>38.6</v>
      </c>
      <c r="DF28" s="51">
        <v>58.1</v>
      </c>
      <c r="DG28" s="51">
        <v>98.1</v>
      </c>
      <c r="DH28" s="51">
        <v>80.099999999999994</v>
      </c>
      <c r="DI28" s="51">
        <v>66.599999999999994</v>
      </c>
      <c r="DJ28" s="51">
        <f>295.5-DI28-DH28-DG28</f>
        <v>50.700000000000017</v>
      </c>
      <c r="DK28" s="51">
        <v>20.6</v>
      </c>
      <c r="DL28" s="51">
        <v>51</v>
      </c>
      <c r="DM28" s="51">
        <v>42.9</v>
      </c>
      <c r="DN28" s="51">
        <v>114</v>
      </c>
      <c r="DO28" s="51">
        <v>22.3</v>
      </c>
      <c r="DP28" s="51">
        <v>30.6</v>
      </c>
      <c r="DQ28" s="51">
        <v>30.7</v>
      </c>
      <c r="DR28" s="51">
        <f t="shared" si="50"/>
        <v>114</v>
      </c>
      <c r="DS28" s="51">
        <v>11.8</v>
      </c>
      <c r="DT28" s="51">
        <f t="shared" si="76"/>
        <v>30.6</v>
      </c>
      <c r="DU28" s="51">
        <f t="shared" si="77"/>
        <v>30.7</v>
      </c>
      <c r="DV28" s="51">
        <f t="shared" si="78"/>
        <v>114</v>
      </c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51"/>
      <c r="EO28" s="52">
        <f>176+152</f>
        <v>328</v>
      </c>
      <c r="EP28" s="51">
        <f>165+100</f>
        <v>265</v>
      </c>
      <c r="EQ28" s="51">
        <f>83+70+4+154</f>
        <v>311</v>
      </c>
      <c r="ER28" s="51">
        <f>41+54+18+117</f>
        <v>230</v>
      </c>
      <c r="ES28" s="51">
        <f>56+54+25+91</f>
        <v>226</v>
      </c>
      <c r="ET28" s="51">
        <f>50+54+50+87</f>
        <v>241</v>
      </c>
      <c r="EU28" s="51">
        <v>54</v>
      </c>
      <c r="EV28" s="51">
        <v>54</v>
      </c>
      <c r="EW28" s="51">
        <f>SUM(BK28:BN28)</f>
        <v>432</v>
      </c>
      <c r="EX28" s="51">
        <f>SUM(BO28:BR28)</f>
        <v>1239</v>
      </c>
      <c r="EY28" s="51">
        <f>SUM(BS28:BV28)</f>
        <v>1564.3000000000002</v>
      </c>
      <c r="EZ28" s="51">
        <f>1672.3-EZ25</f>
        <v>1298.5999999999999</v>
      </c>
      <c r="FA28" s="51">
        <v>1887.1</v>
      </c>
      <c r="FB28" s="51">
        <f>1727.1-FB65</f>
        <v>1489.8</v>
      </c>
      <c r="FC28" s="51">
        <v>1965.4</v>
      </c>
      <c r="FD28" s="51">
        <f>555.4+422</f>
        <v>977.4</v>
      </c>
      <c r="FE28" s="49">
        <f>393+325.1</f>
        <v>718.1</v>
      </c>
      <c r="FF28" s="49">
        <f t="shared" si="19"/>
        <v>483.9</v>
      </c>
      <c r="FG28" s="49">
        <f t="shared" si="15"/>
        <v>271.7</v>
      </c>
      <c r="FH28" s="49">
        <f t="shared" si="16"/>
        <v>181.5</v>
      </c>
      <c r="FI28" s="49">
        <f t="shared" si="9"/>
        <v>295.5</v>
      </c>
      <c r="FJ28" s="49">
        <f t="shared" si="10"/>
        <v>228.5</v>
      </c>
      <c r="FK28" s="49">
        <f>SUM(Model!DO28:DR28)</f>
        <v>197.60000000000002</v>
      </c>
      <c r="FL28" s="49">
        <f t="shared" si="20"/>
        <v>187.10000000000002</v>
      </c>
      <c r="FM28" s="49">
        <f t="shared" ref="FM28:FQ28" si="88">+FL28*0.9</f>
        <v>168.39000000000001</v>
      </c>
      <c r="FN28" s="49">
        <f t="shared" si="88"/>
        <v>151.55100000000002</v>
      </c>
      <c r="FO28" s="49">
        <f t="shared" si="88"/>
        <v>136.39590000000001</v>
      </c>
      <c r="FP28" s="49">
        <f t="shared" si="88"/>
        <v>122.75631000000001</v>
      </c>
      <c r="FQ28" s="49">
        <f t="shared" si="88"/>
        <v>110.48067900000001</v>
      </c>
      <c r="FR28" s="49">
        <f t="shared" si="80"/>
        <v>99.432611100000017</v>
      </c>
      <c r="FS28" s="49">
        <f t="shared" si="81"/>
        <v>89.489349990000022</v>
      </c>
      <c r="FT28" s="49">
        <f t="shared" si="82"/>
        <v>80.54041499100002</v>
      </c>
      <c r="FU28" s="49">
        <f t="shared" si="83"/>
        <v>72.486373491900025</v>
      </c>
      <c r="FV28" s="49">
        <f t="shared" si="84"/>
        <v>65.23773614271002</v>
      </c>
    </row>
    <row r="29" spans="1:178" x14ac:dyDescent="0.25">
      <c r="A29" s="102"/>
      <c r="B29" t="s">
        <v>7</v>
      </c>
      <c r="C29"/>
      <c r="D29"/>
      <c r="E29"/>
      <c r="F29"/>
      <c r="G29" s="97"/>
      <c r="H29" s="97"/>
      <c r="I29" s="97"/>
      <c r="J29" s="51">
        <v>87</v>
      </c>
      <c r="K29" s="51">
        <v>105.4</v>
      </c>
      <c r="L29" s="51">
        <v>156</v>
      </c>
      <c r="M29" s="51">
        <v>201.8</v>
      </c>
      <c r="N29" s="51">
        <f>730.2-M29-L29-K29</f>
        <v>267.00000000000011</v>
      </c>
      <c r="O29" s="51">
        <v>287</v>
      </c>
      <c r="P29" s="51">
        <v>328</v>
      </c>
      <c r="Q29" s="51">
        <v>396</v>
      </c>
      <c r="R29" s="51">
        <f>1440-Q29-P29-O29</f>
        <v>429</v>
      </c>
      <c r="S29" s="51">
        <v>401.2</v>
      </c>
      <c r="T29" s="51">
        <v>393</v>
      </c>
      <c r="U29" s="51">
        <v>502.9</v>
      </c>
      <c r="V29" s="51">
        <f>1890-U29-T29-S29</f>
        <v>592.89999999999986</v>
      </c>
      <c r="W29" s="51">
        <v>458.1</v>
      </c>
      <c r="X29" s="51">
        <v>550.70000000000005</v>
      </c>
      <c r="Y29" s="51">
        <v>644.9</v>
      </c>
      <c r="Z29" s="51">
        <f>2350-Y29-X29-W29</f>
        <v>696.29999999999984</v>
      </c>
      <c r="AA29" s="51">
        <v>637</v>
      </c>
      <c r="AB29" s="51">
        <v>736.6</v>
      </c>
      <c r="AC29" s="51">
        <v>812.5</v>
      </c>
      <c r="AD29" s="51">
        <f>3090-AC29-AB29-AA29</f>
        <v>903.90000000000009</v>
      </c>
      <c r="AE29" s="51">
        <v>819.4</v>
      </c>
      <c r="AF29" s="51">
        <v>906.8</v>
      </c>
      <c r="AG29" s="51">
        <v>974</v>
      </c>
      <c r="AH29" s="51">
        <f>3690-AG29-AF29-AE29</f>
        <v>989.80000000000007</v>
      </c>
      <c r="AI29" s="51">
        <v>958.3</v>
      </c>
      <c r="AJ29" s="51">
        <v>1050</v>
      </c>
      <c r="AK29" s="51">
        <v>1130</v>
      </c>
      <c r="AL29" s="51">
        <v>1145.5</v>
      </c>
      <c r="AM29" s="51">
        <v>1098.3</v>
      </c>
      <c r="AN29" s="51">
        <v>1212.3</v>
      </c>
      <c r="AO29" s="51">
        <v>1023.7</v>
      </c>
      <c r="AP29" s="51">
        <v>1085.5</v>
      </c>
      <c r="AQ29" s="51">
        <v>1038.2</v>
      </c>
      <c r="AR29" s="51">
        <v>1096.8</v>
      </c>
      <c r="AS29" s="51">
        <v>1035.0999999999999</v>
      </c>
      <c r="AT29" s="51">
        <v>1032.2</v>
      </c>
      <c r="AU29" s="51">
        <v>1007.4</v>
      </c>
      <c r="AV29" s="51">
        <v>1115</v>
      </c>
      <c r="AW29" s="51">
        <v>1084.7</v>
      </c>
      <c r="AX29" s="51">
        <v>1156.5</v>
      </c>
      <c r="AY29" s="51">
        <v>1108</v>
      </c>
      <c r="AZ29" s="51">
        <v>1213</v>
      </c>
      <c r="BA29" s="51">
        <v>1166.0999999999999</v>
      </c>
      <c r="BB29" s="51">
        <v>1273.9000000000001</v>
      </c>
      <c r="BC29" s="51">
        <v>1120.2</v>
      </c>
      <c r="BD29" s="51">
        <v>1239.7</v>
      </c>
      <c r="BE29" s="51">
        <v>1189.5</v>
      </c>
      <c r="BF29" s="51">
        <v>1146.7</v>
      </c>
      <c r="BG29" s="51">
        <v>1123</v>
      </c>
      <c r="BH29" s="51">
        <v>1203.2</v>
      </c>
      <c r="BI29" s="51">
        <v>1223</v>
      </c>
      <c r="BJ29" s="51">
        <v>1366.5</v>
      </c>
      <c r="BK29" s="51">
        <v>1215</v>
      </c>
      <c r="BL29" s="51">
        <v>1262.9000000000001</v>
      </c>
      <c r="BM29" s="51">
        <v>1212.7</v>
      </c>
      <c r="BN29" s="51">
        <v>1335.8</v>
      </c>
      <c r="BO29" s="51">
        <v>1281.9000000000001</v>
      </c>
      <c r="BP29" s="51">
        <v>1408.3</v>
      </c>
      <c r="BQ29" s="51">
        <v>1182.3</v>
      </c>
      <c r="BR29" s="51">
        <v>749.6</v>
      </c>
      <c r="BS29" s="51">
        <v>562.70000000000005</v>
      </c>
      <c r="BT29" s="51">
        <v>379.5</v>
      </c>
      <c r="BU29" s="51">
        <v>374.5</v>
      </c>
      <c r="BV29" s="51">
        <v>384.8</v>
      </c>
      <c r="BW29" s="51">
        <v>284.8</v>
      </c>
      <c r="BX29" s="51">
        <v>283.2</v>
      </c>
      <c r="BY29" s="51">
        <v>278.7</v>
      </c>
      <c r="BZ29" s="51">
        <v>348.2</v>
      </c>
      <c r="CA29" s="51">
        <v>283.10000000000002</v>
      </c>
      <c r="CB29" s="51">
        <v>243.8</v>
      </c>
      <c r="CC29" s="51">
        <v>257.39999999999998</v>
      </c>
      <c r="CD29" s="51">
        <v>253.1</v>
      </c>
      <c r="CE29" s="51">
        <v>219.5</v>
      </c>
      <c r="CF29" s="51">
        <v>253.7</v>
      </c>
      <c r="CG29" s="51">
        <v>237.9</v>
      </c>
      <c r="CH29" s="51">
        <v>229.1</v>
      </c>
      <c r="CI29" s="51">
        <v>212.8</v>
      </c>
      <c r="CJ29" s="51">
        <v>210.7</v>
      </c>
      <c r="CK29" s="51">
        <v>148.9</v>
      </c>
      <c r="CL29" s="51">
        <v>153</v>
      </c>
      <c r="CM29" s="51">
        <v>147.5</v>
      </c>
      <c r="CN29" s="51">
        <v>140.80000000000001</v>
      </c>
      <c r="CO29" s="51">
        <v>140.6</v>
      </c>
      <c r="CP29" s="51">
        <v>152.19999999999999</v>
      </c>
      <c r="CQ29" s="51">
        <v>122.6</v>
      </c>
      <c r="CR29" s="51">
        <v>128</v>
      </c>
      <c r="CS29" s="51">
        <v>109.9</v>
      </c>
      <c r="CT29" s="51">
        <v>110.8</v>
      </c>
      <c r="CU29" s="51">
        <v>107.2</v>
      </c>
      <c r="CV29" s="51">
        <v>104.3</v>
      </c>
      <c r="CW29" s="51">
        <v>105.4</v>
      </c>
      <c r="CX29" s="51">
        <f>418.7-CW29-CV29-CU29</f>
        <v>101.79999999999994</v>
      </c>
      <c r="CY29" s="51">
        <v>98.4</v>
      </c>
      <c r="CZ29" s="51">
        <v>96.6</v>
      </c>
      <c r="DA29" s="51">
        <v>112.7</v>
      </c>
      <c r="DB29" s="51">
        <f>46.1+360.5-DA29-CZ29-CY29</f>
        <v>98.900000000000034</v>
      </c>
      <c r="DC29" s="51">
        <v>95.8</v>
      </c>
      <c r="DD29" s="51">
        <v>95.4</v>
      </c>
      <c r="DE29" s="51">
        <v>101.7</v>
      </c>
      <c r="DF29" s="51">
        <f>430.3-DE29-DD29-DC29</f>
        <v>137.40000000000003</v>
      </c>
      <c r="DG29" s="51">
        <v>93.1</v>
      </c>
      <c r="DH29" s="51">
        <v>87.3</v>
      </c>
      <c r="DI29" s="51">
        <v>81.400000000000006</v>
      </c>
      <c r="DJ29" s="51">
        <f>336.9-DI29-DH29-DG29</f>
        <v>75.099999999999994</v>
      </c>
      <c r="DK29" s="51">
        <v>82.7</v>
      </c>
      <c r="DL29" s="51">
        <v>106.5</v>
      </c>
      <c r="DM29" s="51">
        <f>1481.4-1420</f>
        <v>61.400000000000091</v>
      </c>
      <c r="DN29" s="51"/>
      <c r="DO29" s="51"/>
      <c r="DP29" s="51"/>
      <c r="DQ29" s="51">
        <v>31.7</v>
      </c>
      <c r="DR29" s="51"/>
      <c r="DS29" s="51"/>
      <c r="DT29" s="51"/>
      <c r="DU29" s="51"/>
      <c r="DV29" s="51"/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>
        <v>1440</v>
      </c>
      <c r="EL29" s="49">
        <v>1885</v>
      </c>
      <c r="EM29" s="49">
        <v>2349.5</v>
      </c>
      <c r="EN29" s="51">
        <v>3090</v>
      </c>
      <c r="EO29" s="51">
        <v>3689</v>
      </c>
      <c r="EP29" s="51">
        <v>4277</v>
      </c>
      <c r="EQ29" s="51">
        <v>4419</v>
      </c>
      <c r="ER29" s="51">
        <v>4200</v>
      </c>
      <c r="ES29" s="51">
        <f>SUM(AU29:AX29)</f>
        <v>4363.6000000000004</v>
      </c>
      <c r="ET29" s="51">
        <f>SUM(AY29:BB29)</f>
        <v>4761</v>
      </c>
      <c r="EU29" s="51">
        <f>SUM(BC29:BF29)</f>
        <v>4696.1000000000004</v>
      </c>
      <c r="EV29" s="51">
        <f>SUM(BG29:BJ29)</f>
        <v>4915.7</v>
      </c>
      <c r="EW29" s="51">
        <f>SUM(BK29:BN29)</f>
        <v>5026.4000000000005</v>
      </c>
      <c r="EX29" s="51">
        <f>SUM(BO29:BR29)</f>
        <v>4622.1000000000004</v>
      </c>
      <c r="EY29" s="51">
        <f>SUM(BS29:BV29)</f>
        <v>1701.5</v>
      </c>
      <c r="EZ29" s="51">
        <v>1194.8</v>
      </c>
      <c r="FA29" s="51">
        <v>1037.3</v>
      </c>
      <c r="FB29" s="51">
        <v>940.3</v>
      </c>
      <c r="FC29" s="51">
        <v>725.3</v>
      </c>
      <c r="FD29" s="51">
        <v>581.20000000000005</v>
      </c>
      <c r="FE29" s="49">
        <f>SUM(CQ29:CT29)</f>
        <v>471.3</v>
      </c>
      <c r="FF29" s="49">
        <f t="shared" si="19"/>
        <v>418.69999999999993</v>
      </c>
      <c r="FG29" s="49">
        <f t="shared" si="15"/>
        <v>406.6</v>
      </c>
      <c r="FH29" s="49">
        <f t="shared" si="16"/>
        <v>430.3</v>
      </c>
      <c r="FI29" s="49">
        <f t="shared" si="9"/>
        <v>336.9</v>
      </c>
      <c r="FJ29" s="49">
        <f t="shared" si="10"/>
        <v>250.60000000000008</v>
      </c>
      <c r="FK29" s="49">
        <f>SUM(Model!DO29:DR29)</f>
        <v>31.7</v>
      </c>
      <c r="FL29" s="49">
        <f t="shared" si="20"/>
        <v>0</v>
      </c>
      <c r="FM29" s="49">
        <f t="shared" ref="FM29:FQ29" si="89">+FL29*0.9</f>
        <v>0</v>
      </c>
      <c r="FN29" s="49">
        <f t="shared" si="89"/>
        <v>0</v>
      </c>
      <c r="FO29" s="49">
        <f t="shared" si="89"/>
        <v>0</v>
      </c>
      <c r="FP29" s="49">
        <f t="shared" si="89"/>
        <v>0</v>
      </c>
      <c r="FQ29" s="49">
        <f t="shared" si="89"/>
        <v>0</v>
      </c>
      <c r="FR29" s="49">
        <f t="shared" si="80"/>
        <v>0</v>
      </c>
      <c r="FS29" s="49">
        <f t="shared" si="81"/>
        <v>0</v>
      </c>
      <c r="FT29" s="49">
        <f t="shared" si="82"/>
        <v>0</v>
      </c>
      <c r="FU29" s="49">
        <f t="shared" si="83"/>
        <v>0</v>
      </c>
      <c r="FV29" s="49">
        <f t="shared" si="84"/>
        <v>0</v>
      </c>
    </row>
    <row r="30" spans="1:178" x14ac:dyDescent="0.25">
      <c r="A30" s="102"/>
      <c r="B30" s="38" t="s">
        <v>371</v>
      </c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97"/>
      <c r="BX30" s="97"/>
      <c r="BY30" s="97"/>
      <c r="BZ30" s="97"/>
      <c r="CA30" s="97"/>
      <c r="CB30" s="97"/>
      <c r="CC30" s="97"/>
      <c r="CD30" s="97"/>
      <c r="CE30" s="97"/>
      <c r="CF30" s="97"/>
      <c r="CG30" s="97"/>
      <c r="CH30" s="97"/>
      <c r="CI30" s="97"/>
      <c r="CJ30" s="97"/>
      <c r="CK30" s="97"/>
      <c r="CL30" s="97"/>
      <c r="CM30" s="97"/>
      <c r="CN30" s="97"/>
      <c r="CO30" s="97"/>
      <c r="CP30" s="97"/>
      <c r="CQ30" s="52">
        <v>0</v>
      </c>
      <c r="CR30" s="52"/>
      <c r="CS30" s="52"/>
      <c r="CT30" s="52"/>
      <c r="CU30" s="52">
        <v>9.9</v>
      </c>
      <c r="CV30" s="52">
        <v>40.1</v>
      </c>
      <c r="CW30" s="52">
        <v>46.6</v>
      </c>
      <c r="CX30" s="52">
        <v>37.4</v>
      </c>
      <c r="CY30" s="52">
        <v>57.4</v>
      </c>
      <c r="CZ30" s="52">
        <v>64.099999999999994</v>
      </c>
      <c r="DA30" s="52">
        <v>84.4</v>
      </c>
      <c r="DB30" s="52">
        <v>102.8</v>
      </c>
      <c r="DC30" s="52">
        <v>109.7</v>
      </c>
      <c r="DD30" s="52">
        <v>105</v>
      </c>
      <c r="DE30" s="52">
        <v>125.6</v>
      </c>
      <c r="DF30" s="52">
        <v>77.8</v>
      </c>
      <c r="DG30" s="52">
        <v>85.5</v>
      </c>
      <c r="DH30" s="52">
        <v>73.599999999999994</v>
      </c>
      <c r="DI30" s="52">
        <v>76.8</v>
      </c>
      <c r="DJ30" s="52">
        <v>57.5</v>
      </c>
      <c r="DK30" s="52">
        <v>61</v>
      </c>
      <c r="DL30" s="52">
        <v>103.6</v>
      </c>
      <c r="DM30" s="52">
        <v>115.1</v>
      </c>
      <c r="DN30" s="52">
        <v>113.6</v>
      </c>
      <c r="DO30" s="52">
        <v>116.7</v>
      </c>
      <c r="DP30" s="52">
        <v>123</v>
      </c>
      <c r="DQ30" s="51">
        <v>150.19999999999999</v>
      </c>
      <c r="DR30" s="51">
        <f t="shared" si="50"/>
        <v>113.6</v>
      </c>
      <c r="DS30" s="51">
        <v>137.5</v>
      </c>
      <c r="DT30" s="51">
        <f t="shared" si="50"/>
        <v>123</v>
      </c>
      <c r="DU30" s="51">
        <f t="shared" si="50"/>
        <v>150.19999999999999</v>
      </c>
      <c r="DV30" s="51">
        <f t="shared" si="50"/>
        <v>113.6</v>
      </c>
      <c r="DW30" s="49"/>
      <c r="DX30" s="98"/>
      <c r="DY30" s="98"/>
      <c r="DZ30" s="98"/>
      <c r="EA30" s="98"/>
      <c r="EB30" s="98"/>
      <c r="EC30" s="98"/>
      <c r="ED30" s="98"/>
      <c r="EE30" s="98"/>
      <c r="EF30" s="98"/>
      <c r="EG30" s="98"/>
      <c r="EH30" s="98"/>
      <c r="EI30" s="98"/>
      <c r="EJ30" s="98"/>
      <c r="EK30" s="98"/>
      <c r="EL30" s="98"/>
      <c r="EM30" s="98"/>
      <c r="EN30" s="97"/>
      <c r="EO30" s="97"/>
      <c r="EP30" s="97"/>
      <c r="EQ30" s="97"/>
      <c r="ER30" s="97"/>
      <c r="ES30" s="97"/>
      <c r="ET30" s="97"/>
      <c r="EU30" s="97"/>
      <c r="EV30" s="97"/>
      <c r="EW30" s="97"/>
      <c r="EX30" s="97"/>
      <c r="EY30" s="97"/>
      <c r="EZ30" s="97"/>
      <c r="FA30" s="97"/>
      <c r="FB30" s="51"/>
      <c r="FC30" s="51"/>
      <c r="FD30" s="51"/>
      <c r="FE30" s="49">
        <v>0</v>
      </c>
      <c r="FF30" s="49">
        <f t="shared" si="19"/>
        <v>134</v>
      </c>
      <c r="FG30" s="49">
        <f t="shared" si="15"/>
        <v>308.7</v>
      </c>
      <c r="FH30" s="49">
        <f t="shared" si="16"/>
        <v>418.09999999999997</v>
      </c>
      <c r="FI30" s="49">
        <f t="shared" si="9"/>
        <v>293.39999999999998</v>
      </c>
      <c r="FJ30" s="49">
        <f t="shared" si="10"/>
        <v>393.29999999999995</v>
      </c>
      <c r="FK30" s="49">
        <f>SUM(Model!DO30:DR30)</f>
        <v>503.5</v>
      </c>
      <c r="FL30" s="49">
        <f t="shared" si="20"/>
        <v>524.29999999999995</v>
      </c>
      <c r="FM30" s="49">
        <f t="shared" ref="FM30:FQ30" si="90">+FL30*0.9</f>
        <v>471.86999999999995</v>
      </c>
      <c r="FN30" s="49">
        <f t="shared" si="90"/>
        <v>424.68299999999994</v>
      </c>
      <c r="FO30" s="49">
        <f t="shared" si="90"/>
        <v>382.21469999999994</v>
      </c>
      <c r="FP30" s="49">
        <f t="shared" si="90"/>
        <v>343.99322999999993</v>
      </c>
      <c r="FQ30" s="49">
        <f t="shared" si="90"/>
        <v>309.59390699999994</v>
      </c>
      <c r="FR30" s="49">
        <f t="shared" si="80"/>
        <v>278.63451629999997</v>
      </c>
      <c r="FS30" s="49">
        <f t="shared" si="81"/>
        <v>250.77106466999999</v>
      </c>
      <c r="FT30" s="49">
        <f t="shared" si="82"/>
        <v>225.69395820299999</v>
      </c>
      <c r="FU30" s="49">
        <f t="shared" si="83"/>
        <v>203.12456238269999</v>
      </c>
      <c r="FV30" s="49">
        <f t="shared" si="84"/>
        <v>182.81210614443</v>
      </c>
    </row>
    <row r="31" spans="1:178" x14ac:dyDescent="0.25">
      <c r="A31" s="102"/>
      <c r="B31" t="s">
        <v>14</v>
      </c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51"/>
      <c r="AJ31" s="51"/>
      <c r="AK31" s="51"/>
      <c r="AL31" s="51"/>
      <c r="AM31" s="51"/>
      <c r="AN31" s="51"/>
      <c r="AO31" s="51">
        <v>32.5</v>
      </c>
      <c r="AP31" s="51">
        <v>61.3</v>
      </c>
      <c r="AQ31" s="51">
        <v>106.8</v>
      </c>
      <c r="AR31" s="51">
        <v>161.4</v>
      </c>
      <c r="AS31" s="51">
        <v>182.8</v>
      </c>
      <c r="AT31" s="51">
        <v>228.8</v>
      </c>
      <c r="AU31" s="51">
        <v>233</v>
      </c>
      <c r="AV31" s="51">
        <v>310</v>
      </c>
      <c r="AW31" s="51">
        <v>349</v>
      </c>
      <c r="AX31" s="51">
        <v>424.1</v>
      </c>
      <c r="AY31" s="51">
        <v>441.8</v>
      </c>
      <c r="AZ31" s="51">
        <v>519.5</v>
      </c>
      <c r="BA31" s="51">
        <v>513.20000000000005</v>
      </c>
      <c r="BB31" s="51">
        <v>628.29999999999995</v>
      </c>
      <c r="BC31" s="51">
        <v>605.1</v>
      </c>
      <c r="BD31" s="51">
        <v>654.4</v>
      </c>
      <c r="BE31" s="51">
        <v>716.4</v>
      </c>
      <c r="BF31" s="51">
        <v>721.2</v>
      </c>
      <c r="BG31" s="51">
        <v>709.3</v>
      </c>
      <c r="BH31" s="51">
        <v>744.4</v>
      </c>
      <c r="BI31" s="51">
        <v>790.2</v>
      </c>
      <c r="BJ31" s="51">
        <v>830.8</v>
      </c>
      <c r="BK31" s="51">
        <v>803.2</v>
      </c>
      <c r="BL31" s="51">
        <v>867.7</v>
      </c>
      <c r="BM31" s="51">
        <v>825.3</v>
      </c>
      <c r="BN31" s="51">
        <v>984.6</v>
      </c>
      <c r="BO31" s="51">
        <v>908.8</v>
      </c>
      <c r="BP31" s="51">
        <v>1003.4</v>
      </c>
      <c r="BQ31" s="51">
        <v>1068.5999999999999</v>
      </c>
      <c r="BR31" s="51">
        <v>1180.7</v>
      </c>
      <c r="BS31" s="51">
        <v>1114.9000000000001</v>
      </c>
      <c r="BT31" s="51">
        <v>1223.0999999999999</v>
      </c>
      <c r="BU31" s="51">
        <v>1235.8</v>
      </c>
      <c r="BV31" s="51">
        <v>1420.4</v>
      </c>
      <c r="BW31" s="51">
        <v>1328.2</v>
      </c>
      <c r="BX31" s="51">
        <v>1497.2</v>
      </c>
      <c r="BY31" s="51">
        <v>1375.8</v>
      </c>
      <c r="BZ31" s="51">
        <v>883.2</v>
      </c>
      <c r="CA31" s="51">
        <v>478.2</v>
      </c>
      <c r="CB31" s="51">
        <v>401.3</v>
      </c>
      <c r="CC31" s="51">
        <v>368</v>
      </c>
      <c r="CD31" s="51">
        <v>367.3</v>
      </c>
      <c r="CE31" s="51">
        <v>287</v>
      </c>
      <c r="CF31" s="51">
        <v>274.10000000000002</v>
      </c>
      <c r="CG31" s="51">
        <v>242.9</v>
      </c>
      <c r="CH31" s="51">
        <v>223.6</v>
      </c>
      <c r="CI31" s="51">
        <v>198.7</v>
      </c>
      <c r="CJ31" s="51">
        <v>236.5</v>
      </c>
      <c r="CK31" s="51">
        <v>313.5</v>
      </c>
      <c r="CL31" s="51">
        <v>181.8</v>
      </c>
      <c r="CM31" s="51">
        <v>174.6</v>
      </c>
      <c r="CN31" s="51">
        <v>206.6</v>
      </c>
      <c r="CO31" s="51">
        <v>183.2</v>
      </c>
      <c r="CP31" s="51">
        <v>192.8</v>
      </c>
      <c r="CQ31" s="51">
        <v>169.6</v>
      </c>
      <c r="CR31" s="51">
        <v>181.9</v>
      </c>
      <c r="CS31" s="51">
        <v>172</v>
      </c>
      <c r="CT31" s="51">
        <v>184.5</v>
      </c>
      <c r="CU31" s="51">
        <v>164.1</v>
      </c>
      <c r="CV31" s="51">
        <v>187.2</v>
      </c>
      <c r="CW31" s="51">
        <v>178.6</v>
      </c>
      <c r="CX31" s="51">
        <f>725.4-CW31-CV31-CU31</f>
        <v>195.49999999999997</v>
      </c>
      <c r="CY31" s="51">
        <v>210.4</v>
      </c>
      <c r="CZ31" s="51">
        <v>179.9</v>
      </c>
      <c r="DA31" s="51">
        <v>186.6</v>
      </c>
      <c r="DB31" s="51">
        <f>42.1+725.6-DA31-CZ31-CY31</f>
        <v>190.80000000000004</v>
      </c>
      <c r="DC31" s="51">
        <v>176.6</v>
      </c>
      <c r="DD31" s="51">
        <v>175.6</v>
      </c>
      <c r="DE31" s="51">
        <v>132</v>
      </c>
      <c r="DF31" s="51">
        <f>581.5-DE31-DD31-DC31</f>
        <v>97.299999999999983</v>
      </c>
      <c r="DG31" s="51">
        <v>81.099999999999994</v>
      </c>
      <c r="DH31" s="51">
        <v>75.5</v>
      </c>
      <c r="DI31" s="51">
        <v>62.7</v>
      </c>
      <c r="DJ31" s="51">
        <f>283.3-DI31-DH31-DG31</f>
        <v>64.000000000000028</v>
      </c>
      <c r="DK31" s="51">
        <v>60.2</v>
      </c>
      <c r="DL31" s="51"/>
      <c r="DM31" s="51"/>
      <c r="DN31" s="51"/>
      <c r="DO31" s="51">
        <v>54.4</v>
      </c>
      <c r="DP31" s="51">
        <v>49.8</v>
      </c>
      <c r="DQ31" s="51">
        <v>44.7</v>
      </c>
      <c r="DR31" s="51">
        <v>44.7</v>
      </c>
      <c r="DS31" s="51">
        <v>31.2</v>
      </c>
      <c r="DT31" s="51">
        <v>44.7</v>
      </c>
      <c r="DU31" s="51">
        <v>44.7</v>
      </c>
      <c r="DV31" s="51">
        <v>44.7</v>
      </c>
      <c r="DW31" s="49"/>
      <c r="DX31" s="49"/>
      <c r="DY31" s="49"/>
      <c r="DZ31" s="49"/>
      <c r="EA31" s="49"/>
      <c r="EB31" s="49"/>
      <c r="EC31" s="49"/>
      <c r="ED31" s="49"/>
      <c r="EE31" s="49"/>
      <c r="EF31" s="49"/>
      <c r="EG31" s="49"/>
      <c r="EH31" s="49"/>
      <c r="EI31" s="49"/>
      <c r="EJ31" s="49"/>
      <c r="EK31" s="49"/>
      <c r="EL31" s="49"/>
      <c r="EM31" s="49"/>
      <c r="EN31" s="51"/>
      <c r="EO31" s="51"/>
      <c r="EP31" s="51"/>
      <c r="EQ31" s="51">
        <v>92</v>
      </c>
      <c r="ER31" s="51">
        <v>680</v>
      </c>
      <c r="ES31" s="51">
        <f>SUM(AU31:AX31)</f>
        <v>1316.1</v>
      </c>
      <c r="ET31" s="51">
        <f>SUM(AY31:BB31)</f>
        <v>2102.8000000000002</v>
      </c>
      <c r="EU31" s="51">
        <f>SUM(BC31:BF31)</f>
        <v>2697.1000000000004</v>
      </c>
      <c r="EV31" s="51">
        <f>SUM(BG31:BJ31)</f>
        <v>3074.7</v>
      </c>
      <c r="EW31" s="51">
        <f>SUM(BK31:BN31)</f>
        <v>3480.7999999999997</v>
      </c>
      <c r="EX31" s="51">
        <f>SUM(BO31:BR31)</f>
        <v>4161.5</v>
      </c>
      <c r="EY31" s="51">
        <f>SUM(BS31:BV31)</f>
        <v>4994.2000000000007</v>
      </c>
      <c r="EZ31" s="51">
        <v>5084.3999999999996</v>
      </c>
      <c r="FA31" s="51">
        <v>1614.7</v>
      </c>
      <c r="FB31" s="51">
        <v>1027.5999999999999</v>
      </c>
      <c r="FC31" s="51">
        <v>930.5</v>
      </c>
      <c r="FD31" s="51">
        <v>757.2</v>
      </c>
      <c r="FE31" s="51">
        <v>708</v>
      </c>
      <c r="FF31" s="49">
        <f t="shared" si="19"/>
        <v>725.4</v>
      </c>
      <c r="FG31" s="49">
        <f t="shared" si="15"/>
        <v>767.7</v>
      </c>
      <c r="FH31" s="49">
        <f t="shared" si="16"/>
        <v>581.5</v>
      </c>
      <c r="FI31" s="49">
        <f t="shared" si="9"/>
        <v>283.30000000000007</v>
      </c>
      <c r="FJ31" s="49">
        <f t="shared" si="10"/>
        <v>60.2</v>
      </c>
      <c r="FK31" s="49">
        <f>SUM(Model!DO31:DR31)</f>
        <v>193.59999999999997</v>
      </c>
      <c r="FL31" s="49">
        <f t="shared" si="20"/>
        <v>165.3</v>
      </c>
      <c r="FM31" s="49">
        <f t="shared" ref="FM31:FQ31" si="91">+FL31*0.9</f>
        <v>148.77000000000001</v>
      </c>
      <c r="FN31" s="49">
        <f t="shared" si="91"/>
        <v>133.893</v>
      </c>
      <c r="FO31" s="49">
        <f t="shared" si="91"/>
        <v>120.50370000000001</v>
      </c>
      <c r="FP31" s="49">
        <f t="shared" si="91"/>
        <v>108.45333000000001</v>
      </c>
      <c r="FQ31" s="49">
        <f t="shared" si="91"/>
        <v>97.607997000000012</v>
      </c>
      <c r="FR31" s="49">
        <f t="shared" si="80"/>
        <v>87.847197300000019</v>
      </c>
      <c r="FS31" s="49">
        <f t="shared" si="81"/>
        <v>79.062477570000013</v>
      </c>
      <c r="FT31" s="49">
        <f t="shared" si="82"/>
        <v>71.15622981300001</v>
      </c>
      <c r="FU31" s="49">
        <f t="shared" si="83"/>
        <v>64.040606831700018</v>
      </c>
      <c r="FV31" s="49">
        <f t="shared" si="84"/>
        <v>57.636546148530016</v>
      </c>
    </row>
    <row r="32" spans="1:178" x14ac:dyDescent="0.25">
      <c r="A32" s="102"/>
      <c r="B32" t="s">
        <v>492</v>
      </c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>
        <v>76.900000000000006</v>
      </c>
      <c r="CB32" s="51">
        <v>90.3</v>
      </c>
      <c r="CC32" s="51">
        <v>78.900000000000006</v>
      </c>
      <c r="CD32" s="51">
        <v>82.7</v>
      </c>
      <c r="CE32" s="51">
        <v>82.3</v>
      </c>
      <c r="CF32" s="51">
        <v>80</v>
      </c>
      <c r="CG32" s="51">
        <v>92.7</v>
      </c>
      <c r="CH32" s="51">
        <v>101.7</v>
      </c>
      <c r="CI32" s="51"/>
      <c r="CJ32" s="51"/>
      <c r="CK32" s="51"/>
      <c r="CL32" s="51"/>
      <c r="CM32" s="51">
        <v>113</v>
      </c>
      <c r="CN32" s="51">
        <v>141.9</v>
      </c>
      <c r="CO32" s="51">
        <v>153.30000000000001</v>
      </c>
      <c r="CP32" s="51">
        <v>129.69999999999999</v>
      </c>
      <c r="CQ32" s="51">
        <v>141.1</v>
      </c>
      <c r="CR32" s="51">
        <v>141.69999999999999</v>
      </c>
      <c r="CS32" s="51">
        <v>135.69999999999999</v>
      </c>
      <c r="CT32" s="51">
        <v>156.19999999999999</v>
      </c>
      <c r="CU32" s="51">
        <v>131.9</v>
      </c>
      <c r="CV32" s="51">
        <v>153.9</v>
      </c>
      <c r="CW32" s="51">
        <v>155.5</v>
      </c>
      <c r="CX32" s="51">
        <f>590.6-CW32-CV32-CU32</f>
        <v>149.30000000000004</v>
      </c>
      <c r="CY32" s="51">
        <v>93.2</v>
      </c>
      <c r="CZ32" s="51">
        <v>76.8</v>
      </c>
      <c r="DA32" s="51">
        <v>91.7</v>
      </c>
      <c r="DB32" s="51">
        <v>96.8</v>
      </c>
      <c r="DC32" s="51">
        <v>94.6</v>
      </c>
      <c r="DD32" s="51">
        <v>89.2</v>
      </c>
      <c r="DE32" s="51">
        <v>96.1</v>
      </c>
      <c r="DF32" s="51">
        <v>92.6</v>
      </c>
      <c r="DG32" s="94" t="s">
        <v>742</v>
      </c>
      <c r="DH32" s="94" t="s">
        <v>745</v>
      </c>
      <c r="DI32" s="94" t="s">
        <v>744</v>
      </c>
      <c r="DJ32" s="94" t="s">
        <v>748</v>
      </c>
      <c r="DK32" s="94">
        <v>86</v>
      </c>
      <c r="DL32" s="94" t="s">
        <v>744</v>
      </c>
      <c r="DM32" s="94" t="s">
        <v>743</v>
      </c>
      <c r="DN32" s="94" t="s">
        <v>746</v>
      </c>
      <c r="DO32" s="51">
        <v>88.9</v>
      </c>
      <c r="DP32" s="51">
        <v>76.599999999999994</v>
      </c>
      <c r="DQ32" s="51">
        <v>91.7</v>
      </c>
      <c r="DR32" s="51">
        <v>91.7</v>
      </c>
      <c r="DS32" s="51">
        <v>76.3</v>
      </c>
      <c r="DT32" s="51">
        <v>91.7</v>
      </c>
      <c r="DU32" s="51">
        <v>91.7</v>
      </c>
      <c r="DV32" s="51">
        <v>91.7</v>
      </c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>
        <v>356.8</v>
      </c>
      <c r="FC32" s="51">
        <v>436.6</v>
      </c>
      <c r="FD32" s="51">
        <v>537.9</v>
      </c>
      <c r="FE32" s="51">
        <v>574.70000000000005</v>
      </c>
      <c r="FF32" s="49">
        <f t="shared" si="19"/>
        <v>590.6</v>
      </c>
      <c r="FG32" s="49">
        <f t="shared" si="15"/>
        <v>358.5</v>
      </c>
      <c r="FH32" s="49">
        <f t="shared" si="16"/>
        <v>372.5</v>
      </c>
      <c r="FI32" s="94" t="s">
        <v>749</v>
      </c>
      <c r="FJ32" s="94" t="s">
        <v>747</v>
      </c>
      <c r="FK32" s="49">
        <f>SUM(Model!DO32:DR32)</f>
        <v>348.9</v>
      </c>
      <c r="FL32" s="49">
        <f t="shared" si="20"/>
        <v>351.4</v>
      </c>
      <c r="FM32" s="49">
        <f t="shared" ref="FM32:FQ32" si="92">+FL32*0.9</f>
        <v>316.26</v>
      </c>
      <c r="FN32" s="49">
        <f t="shared" si="92"/>
        <v>284.63400000000001</v>
      </c>
      <c r="FO32" s="49">
        <f t="shared" si="92"/>
        <v>256.17060000000004</v>
      </c>
      <c r="FP32" s="49">
        <f t="shared" si="92"/>
        <v>230.55354000000003</v>
      </c>
      <c r="FQ32" s="49">
        <f t="shared" si="92"/>
        <v>207.49818600000003</v>
      </c>
      <c r="FR32" s="49">
        <f t="shared" si="80"/>
        <v>186.74836740000003</v>
      </c>
      <c r="FS32" s="49">
        <f t="shared" si="81"/>
        <v>168.07353066000005</v>
      </c>
      <c r="FT32" s="49">
        <f t="shared" si="82"/>
        <v>151.26617759400006</v>
      </c>
      <c r="FU32" s="49">
        <f t="shared" si="83"/>
        <v>136.13955983460005</v>
      </c>
      <c r="FV32" s="49">
        <f t="shared" si="84"/>
        <v>122.52560385114005</v>
      </c>
    </row>
    <row r="33" spans="1:178" x14ac:dyDescent="0.25">
      <c r="A33" s="102"/>
      <c r="B33" t="s">
        <v>62</v>
      </c>
      <c r="C33"/>
      <c r="D33"/>
      <c r="E33"/>
      <c r="F33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97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>
        <v>49.8</v>
      </c>
      <c r="CR33" s="51">
        <v>46.9</v>
      </c>
      <c r="CS33" s="51">
        <v>46.6</v>
      </c>
      <c r="CT33" s="51"/>
      <c r="CU33" s="51">
        <v>41.4</v>
      </c>
      <c r="CV33" s="51">
        <v>44.3</v>
      </c>
      <c r="CW33" s="51">
        <v>42.9</v>
      </c>
      <c r="CX33" s="51">
        <f>80.2+93.6-CW33-CV33-CU33</f>
        <v>45.20000000000001</v>
      </c>
      <c r="CY33" s="51">
        <v>41.1</v>
      </c>
      <c r="CZ33" s="51">
        <v>33.200000000000003</v>
      </c>
      <c r="DA33" s="51">
        <v>43.2</v>
      </c>
      <c r="DB33" s="51">
        <v>35.6</v>
      </c>
      <c r="DC33" s="51">
        <v>32.4</v>
      </c>
      <c r="DD33" s="51">
        <v>35</v>
      </c>
      <c r="DE33" s="51">
        <v>36</v>
      </c>
      <c r="DF33" s="51">
        <v>31.4</v>
      </c>
      <c r="DG33" s="51">
        <v>74.2</v>
      </c>
      <c r="DH33" s="51">
        <v>69.599999999999994</v>
      </c>
      <c r="DI33" s="51">
        <v>60.6</v>
      </c>
      <c r="DJ33" s="51">
        <f>85.5+189.6-DI33-DH33-DG33</f>
        <v>70.700000000000031</v>
      </c>
      <c r="DK33" s="51">
        <v>53.1</v>
      </c>
      <c r="DL33" s="51">
        <f>217.9-DL29</f>
        <v>111.4</v>
      </c>
      <c r="DM33" s="51">
        <v>118.2</v>
      </c>
      <c r="DN33" s="51">
        <f>371.1+134.4-SUM(DK33:DM33)</f>
        <v>222.8</v>
      </c>
      <c r="DO33" s="51">
        <v>100.5</v>
      </c>
      <c r="DP33" s="52">
        <v>90.8</v>
      </c>
      <c r="DQ33" s="51">
        <f>95.8-DQ29</f>
        <v>64.099999999999994</v>
      </c>
      <c r="DR33" s="51">
        <f t="shared" si="50"/>
        <v>222.8</v>
      </c>
      <c r="DS33" s="51">
        <v>89.3</v>
      </c>
      <c r="DT33" s="51">
        <f t="shared" si="50"/>
        <v>90.8</v>
      </c>
      <c r="DU33" s="51">
        <f t="shared" si="50"/>
        <v>64.099999999999994</v>
      </c>
      <c r="DV33" s="51">
        <f t="shared" si="50"/>
        <v>222.8</v>
      </c>
      <c r="DW33" s="49"/>
      <c r="DX33" s="49"/>
      <c r="DY33" s="49"/>
      <c r="DZ33" s="49"/>
      <c r="EA33" s="49"/>
      <c r="EB33" s="49"/>
      <c r="EC33" s="49"/>
      <c r="ED33" s="49"/>
      <c r="EE33" s="49"/>
      <c r="EF33" s="49"/>
      <c r="EG33" s="49"/>
      <c r="EH33" s="49"/>
      <c r="EI33" s="49"/>
      <c r="EJ33" s="49"/>
      <c r="EK33" s="49"/>
      <c r="EL33" s="49"/>
      <c r="EM33" s="49"/>
      <c r="EN33" s="51"/>
      <c r="EO33" s="51">
        <v>168</v>
      </c>
      <c r="EP33" s="51">
        <v>98</v>
      </c>
      <c r="EQ33" s="51">
        <v>89</v>
      </c>
      <c r="ER33" s="51">
        <v>4</v>
      </c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>
        <f>98.9+115.7</f>
        <v>214.60000000000002</v>
      </c>
      <c r="FE33" s="51">
        <f>93.4+92.3</f>
        <v>185.7</v>
      </c>
      <c r="FF33" s="49">
        <f t="shared" si="19"/>
        <v>173.8</v>
      </c>
      <c r="FG33" s="49">
        <f t="shared" si="15"/>
        <v>153.10000000000002</v>
      </c>
      <c r="FH33" s="49">
        <f t="shared" si="16"/>
        <v>134.80000000000001</v>
      </c>
      <c r="FI33" s="49">
        <f t="shared" si="9"/>
        <v>275.10000000000002</v>
      </c>
      <c r="FJ33" s="49">
        <f t="shared" si="10"/>
        <v>505.5</v>
      </c>
      <c r="FK33" s="49">
        <f>SUM(Model!DO33:DR33)</f>
        <v>478.20000000000005</v>
      </c>
      <c r="FL33" s="49">
        <f t="shared" si="20"/>
        <v>467</v>
      </c>
      <c r="FM33" s="49">
        <f t="shared" ref="FM33:FQ33" si="93">+FL33*0.9</f>
        <v>420.3</v>
      </c>
      <c r="FN33" s="49">
        <f t="shared" si="93"/>
        <v>378.27000000000004</v>
      </c>
      <c r="FO33" s="49">
        <f t="shared" si="93"/>
        <v>340.44300000000004</v>
      </c>
      <c r="FP33" s="49">
        <f t="shared" si="93"/>
        <v>306.39870000000002</v>
      </c>
      <c r="FQ33" s="49">
        <f t="shared" si="93"/>
        <v>275.75883000000005</v>
      </c>
      <c r="FR33" s="49">
        <f t="shared" si="80"/>
        <v>248.18294700000004</v>
      </c>
      <c r="FS33" s="49">
        <f t="shared" si="81"/>
        <v>223.36465230000005</v>
      </c>
      <c r="FT33" s="49">
        <f t="shared" si="82"/>
        <v>201.02818707000006</v>
      </c>
      <c r="FU33" s="49">
        <f t="shared" si="83"/>
        <v>180.92536836300005</v>
      </c>
      <c r="FV33" s="49">
        <f t="shared" si="84"/>
        <v>162.83283152670003</v>
      </c>
    </row>
    <row r="34" spans="1:178" x14ac:dyDescent="0.25">
      <c r="A34" s="102"/>
      <c r="B34" s="38" t="s">
        <v>377</v>
      </c>
      <c r="C34"/>
      <c r="D34"/>
      <c r="E34"/>
      <c r="F34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97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>
        <v>6.3</v>
      </c>
      <c r="DA34" s="51">
        <v>11.6</v>
      </c>
      <c r="DB34" s="51">
        <v>18.7</v>
      </c>
      <c r="DC34" s="51">
        <v>16.8</v>
      </c>
      <c r="DD34" s="51">
        <v>25.7</v>
      </c>
      <c r="DE34" s="51">
        <v>33.6</v>
      </c>
      <c r="DF34" s="51">
        <v>38.6</v>
      </c>
      <c r="DG34" s="51">
        <v>41.8</v>
      </c>
      <c r="DH34" s="51">
        <v>45</v>
      </c>
      <c r="DI34" s="51">
        <v>40.5</v>
      </c>
      <c r="DJ34" s="51">
        <v>64.599999999999994</v>
      </c>
      <c r="DK34" s="51">
        <v>51.4</v>
      </c>
      <c r="DL34" s="51">
        <v>65.400000000000006</v>
      </c>
      <c r="DM34" s="51">
        <v>63.4</v>
      </c>
      <c r="DN34" s="51">
        <v>73.400000000000006</v>
      </c>
      <c r="DO34" s="51">
        <v>69.2</v>
      </c>
      <c r="DP34" s="51">
        <v>91.2</v>
      </c>
      <c r="DQ34" s="51">
        <v>114</v>
      </c>
      <c r="DR34" s="51">
        <f>+DQ34+5</f>
        <v>119</v>
      </c>
      <c r="DS34" s="51">
        <v>91</v>
      </c>
      <c r="DT34" s="51">
        <f>+DS34+5</f>
        <v>96</v>
      </c>
      <c r="DU34" s="51">
        <f>+DT34+5</f>
        <v>101</v>
      </c>
      <c r="DV34" s="51">
        <f>+DU34+5</f>
        <v>106</v>
      </c>
      <c r="DW34" s="49"/>
      <c r="DX34" s="49"/>
      <c r="DY34" s="49"/>
      <c r="DZ34" s="49"/>
      <c r="EA34" s="49"/>
      <c r="EB34" s="49"/>
      <c r="EC34" s="49"/>
      <c r="ED34" s="49"/>
      <c r="EE34" s="49"/>
      <c r="EF34" s="49"/>
      <c r="EG34" s="49"/>
      <c r="EH34" s="49"/>
      <c r="EI34" s="49"/>
      <c r="EJ34" s="49"/>
      <c r="EK34" s="49"/>
      <c r="EL34" s="49"/>
      <c r="EM34" s="49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49">
        <f t="shared" si="19"/>
        <v>0</v>
      </c>
      <c r="FG34" s="49">
        <f t="shared" si="15"/>
        <v>36.599999999999994</v>
      </c>
      <c r="FH34" s="49">
        <f t="shared" si="16"/>
        <v>114.69999999999999</v>
      </c>
      <c r="FI34" s="49">
        <f t="shared" si="9"/>
        <v>191.89999999999998</v>
      </c>
      <c r="FJ34" s="49">
        <f t="shared" si="10"/>
        <v>253.60000000000002</v>
      </c>
      <c r="FK34" s="49">
        <f>SUM(Model!DO34:DR34)</f>
        <v>393.4</v>
      </c>
      <c r="FL34" s="49">
        <f t="shared" si="20"/>
        <v>394</v>
      </c>
      <c r="FM34" s="49">
        <f t="shared" ref="FM34:FP34" si="94">+FL34*1.3</f>
        <v>512.20000000000005</v>
      </c>
      <c r="FN34" s="49">
        <f t="shared" si="94"/>
        <v>665.86000000000013</v>
      </c>
      <c r="FO34" s="49">
        <f t="shared" si="94"/>
        <v>865.61800000000017</v>
      </c>
      <c r="FP34" s="49">
        <f t="shared" si="94"/>
        <v>1125.3034000000002</v>
      </c>
      <c r="FQ34" s="49">
        <f>+FP34*0.1</f>
        <v>112.53034000000002</v>
      </c>
      <c r="FR34" s="49">
        <f t="shared" ref="FR34:FV34" si="95">+FQ34*0.1</f>
        <v>11.253034000000003</v>
      </c>
      <c r="FS34" s="49">
        <f t="shared" si="95"/>
        <v>1.1253034000000004</v>
      </c>
      <c r="FT34" s="49">
        <f t="shared" si="95"/>
        <v>0.11253034000000005</v>
      </c>
      <c r="FU34" s="49">
        <f t="shared" si="95"/>
        <v>1.1253034000000006E-2</v>
      </c>
      <c r="FV34" s="49">
        <f t="shared" si="95"/>
        <v>1.1253034000000006E-3</v>
      </c>
    </row>
    <row r="35" spans="1:178" x14ac:dyDescent="0.25">
      <c r="A35" s="102"/>
      <c r="B35" s="38" t="s">
        <v>454</v>
      </c>
      <c r="C35"/>
      <c r="D35"/>
      <c r="E35"/>
      <c r="F35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97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>
        <v>6.2</v>
      </c>
      <c r="CX35" s="51">
        <v>0</v>
      </c>
      <c r="CY35" s="51">
        <v>17.8</v>
      </c>
      <c r="CZ35" s="51">
        <v>13.6</v>
      </c>
      <c r="DA35" s="51">
        <v>20.9</v>
      </c>
      <c r="DB35" s="51">
        <v>23.8</v>
      </c>
      <c r="DC35" s="51">
        <v>24.4</v>
      </c>
      <c r="DD35" s="51">
        <v>25.9</v>
      </c>
      <c r="DE35" s="51">
        <v>31.9</v>
      </c>
      <c r="DF35" s="51">
        <v>31</v>
      </c>
      <c r="DG35" s="51">
        <v>0</v>
      </c>
      <c r="DH35" s="51">
        <f>+DG35</f>
        <v>0</v>
      </c>
      <c r="DI35" s="51">
        <v>43</v>
      </c>
      <c r="DJ35" s="51">
        <f t="shared" ref="DJ35" si="96">+DI35</f>
        <v>43</v>
      </c>
      <c r="DK35" s="51">
        <v>31.4</v>
      </c>
      <c r="DL35" s="51">
        <f>613.9-579</f>
        <v>34.899999999999977</v>
      </c>
      <c r="DM35" s="51">
        <v>13.1</v>
      </c>
      <c r="DN35" s="51">
        <v>0</v>
      </c>
      <c r="DO35" s="51"/>
      <c r="DP35" s="94" t="s">
        <v>982</v>
      </c>
      <c r="DQ35" s="51">
        <v>13.4</v>
      </c>
      <c r="DR35" s="51"/>
      <c r="DS35" s="51"/>
      <c r="DT35" s="51"/>
      <c r="DU35" s="51"/>
      <c r="DV35" s="52"/>
      <c r="DW35" s="49"/>
      <c r="DX35" s="49"/>
      <c r="DY35" s="49"/>
      <c r="DZ35" s="49"/>
      <c r="EA35" s="49"/>
      <c r="EB35" s="49"/>
      <c r="EC35" s="49"/>
      <c r="ED35" s="49"/>
      <c r="EE35" s="49"/>
      <c r="EF35" s="49"/>
      <c r="EG35" s="49"/>
      <c r="EH35" s="49"/>
      <c r="EI35" s="49"/>
      <c r="EJ35" s="49"/>
      <c r="EK35" s="49"/>
      <c r="EL35" s="49"/>
      <c r="EM35" s="49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49">
        <f t="shared" si="19"/>
        <v>6.2</v>
      </c>
      <c r="FG35" s="49">
        <f t="shared" si="15"/>
        <v>76.099999999999994</v>
      </c>
      <c r="FH35" s="49">
        <f t="shared" si="16"/>
        <v>113.19999999999999</v>
      </c>
      <c r="FI35" s="49">
        <f t="shared" si="9"/>
        <v>86</v>
      </c>
      <c r="FJ35" s="49">
        <f t="shared" si="10"/>
        <v>79.399999999999977</v>
      </c>
      <c r="FK35" s="49">
        <f>SUM(Model!DO35:DR35)</f>
        <v>13.4</v>
      </c>
      <c r="FL35" s="49">
        <f t="shared" si="20"/>
        <v>0</v>
      </c>
      <c r="FM35" s="49"/>
      <c r="FN35" s="49"/>
      <c r="FO35" s="49"/>
      <c r="FP35" s="49"/>
      <c r="FQ35" s="49"/>
    </row>
    <row r="36" spans="1:178" x14ac:dyDescent="0.25">
      <c r="A36" s="102"/>
      <c r="B36" s="38" t="s">
        <v>972</v>
      </c>
      <c r="C36"/>
      <c r="D36"/>
      <c r="E36"/>
      <c r="F36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97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97"/>
      <c r="DI36" s="97"/>
      <c r="DJ36" s="97"/>
      <c r="DK36" s="97"/>
      <c r="DL36" s="51"/>
      <c r="DM36" s="51"/>
      <c r="DN36" s="51"/>
      <c r="DO36" s="51"/>
      <c r="DP36" s="51"/>
      <c r="DQ36" s="51">
        <v>1.4</v>
      </c>
      <c r="DR36" s="51">
        <v>100</v>
      </c>
      <c r="DS36" s="51">
        <v>21.5</v>
      </c>
      <c r="DT36" s="51">
        <f t="shared" ref="DT36:DV37" si="97">+DS36+25</f>
        <v>46.5</v>
      </c>
      <c r="DU36" s="51">
        <f t="shared" si="97"/>
        <v>71.5</v>
      </c>
      <c r="DV36" s="51">
        <f t="shared" si="97"/>
        <v>96.5</v>
      </c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49"/>
      <c r="FG36" s="49"/>
      <c r="FH36" s="49"/>
      <c r="FI36" s="49"/>
      <c r="FJ36" s="49"/>
      <c r="FK36" s="49">
        <f>SUM(Model!DO36:DR36)</f>
        <v>101.4</v>
      </c>
      <c r="FL36" s="49">
        <f t="shared" si="20"/>
        <v>236</v>
      </c>
      <c r="FM36" s="49">
        <f>+FL36*1.1</f>
        <v>259.60000000000002</v>
      </c>
      <c r="FN36" s="49">
        <f t="shared" ref="FN36:FV36" si="98">+FM36*1.1</f>
        <v>285.56000000000006</v>
      </c>
      <c r="FO36" s="49">
        <f t="shared" si="98"/>
        <v>314.1160000000001</v>
      </c>
      <c r="FP36" s="49">
        <f t="shared" si="98"/>
        <v>345.52760000000012</v>
      </c>
      <c r="FQ36" s="49">
        <f t="shared" si="98"/>
        <v>380.08036000000016</v>
      </c>
      <c r="FR36" s="49">
        <f t="shared" si="98"/>
        <v>418.08839600000022</v>
      </c>
      <c r="FS36" s="49">
        <f t="shared" si="98"/>
        <v>459.89723560000027</v>
      </c>
      <c r="FT36" s="49">
        <f t="shared" si="98"/>
        <v>505.88695916000034</v>
      </c>
      <c r="FU36" s="49">
        <f t="shared" si="98"/>
        <v>556.47565507600041</v>
      </c>
      <c r="FV36" s="49">
        <f t="shared" si="98"/>
        <v>612.12322058360053</v>
      </c>
    </row>
    <row r="37" spans="1:178" x14ac:dyDescent="0.25">
      <c r="A37" s="102"/>
      <c r="B37" s="38" t="s">
        <v>879</v>
      </c>
      <c r="C37"/>
      <c r="D37"/>
      <c r="E37"/>
      <c r="F37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97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97"/>
      <c r="DI37" s="97"/>
      <c r="DJ37" s="97"/>
      <c r="DK37" s="97"/>
      <c r="DL37" s="51"/>
      <c r="DM37" s="51"/>
      <c r="DN37" s="51"/>
      <c r="DO37" s="51">
        <v>9.4</v>
      </c>
      <c r="DP37" s="51">
        <v>25.6</v>
      </c>
      <c r="DQ37" s="51">
        <v>40.5</v>
      </c>
      <c r="DR37" s="51">
        <v>75</v>
      </c>
      <c r="DS37" s="51">
        <v>37.200000000000003</v>
      </c>
      <c r="DT37" s="51">
        <f t="shared" si="97"/>
        <v>62.2</v>
      </c>
      <c r="DU37" s="51">
        <f t="shared" si="97"/>
        <v>87.2</v>
      </c>
      <c r="DV37" s="51">
        <f t="shared" si="97"/>
        <v>112.2</v>
      </c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49"/>
      <c r="FG37" s="49"/>
      <c r="FH37" s="49"/>
      <c r="FI37" s="49"/>
      <c r="FJ37" s="49"/>
      <c r="FK37" s="49">
        <f>SUM(Model!DO37:DR37)</f>
        <v>150.5</v>
      </c>
      <c r="FL37" s="49">
        <f t="shared" ref="FL37:FL45" si="99">SUM(DS37:DV37)</f>
        <v>298.8</v>
      </c>
      <c r="FM37" s="49">
        <f>+FL37*1.9</f>
        <v>567.72</v>
      </c>
      <c r="FN37" s="49">
        <f>+FM37*1.5</f>
        <v>851.58</v>
      </c>
      <c r="FO37" s="49">
        <f>+FN37*1.1</f>
        <v>936.73800000000017</v>
      </c>
      <c r="FP37" s="49">
        <f t="shared" ref="FP37:FV37" si="100">+FO37*1.1</f>
        <v>1030.4118000000003</v>
      </c>
      <c r="FQ37" s="49">
        <f t="shared" si="100"/>
        <v>1133.4529800000005</v>
      </c>
      <c r="FR37" s="49">
        <f t="shared" si="100"/>
        <v>1246.7982780000007</v>
      </c>
      <c r="FS37" s="49">
        <f t="shared" si="100"/>
        <v>1371.4781058000008</v>
      </c>
      <c r="FT37" s="49">
        <f t="shared" si="100"/>
        <v>1508.6259163800009</v>
      </c>
      <c r="FU37" s="49">
        <f t="shared" si="100"/>
        <v>1659.4885080180011</v>
      </c>
      <c r="FV37" s="49">
        <f t="shared" si="100"/>
        <v>1825.4373588198014</v>
      </c>
    </row>
    <row r="38" spans="1:178" x14ac:dyDescent="0.25">
      <c r="A38" s="102"/>
      <c r="B38" s="38" t="s">
        <v>980</v>
      </c>
      <c r="C38"/>
      <c r="D38"/>
      <c r="E38"/>
      <c r="F38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97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>
        <v>5.0999999999999996</v>
      </c>
      <c r="DL38" s="51"/>
      <c r="DM38" s="51"/>
      <c r="DN38" s="51"/>
      <c r="DO38" s="51">
        <v>50</v>
      </c>
      <c r="DP38" s="51">
        <v>92.4</v>
      </c>
      <c r="DQ38" s="51">
        <v>81.099999999999994</v>
      </c>
      <c r="DR38" s="51">
        <f>+DQ38+10</f>
        <v>91.1</v>
      </c>
      <c r="DS38" s="51">
        <v>92</v>
      </c>
      <c r="DT38" s="51">
        <f>+DS38+10</f>
        <v>102</v>
      </c>
      <c r="DU38" s="51">
        <f>+DT38+10</f>
        <v>112</v>
      </c>
      <c r="DV38" s="51">
        <f>+DU38+10</f>
        <v>122</v>
      </c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49"/>
      <c r="FG38" s="49"/>
      <c r="FH38" s="49"/>
      <c r="FI38" s="49"/>
      <c r="FJ38" s="49">
        <f t="shared" si="10"/>
        <v>5.0999999999999996</v>
      </c>
      <c r="FK38" s="49">
        <f>SUM(Model!DO38:DR38)</f>
        <v>314.60000000000002</v>
      </c>
      <c r="FL38" s="49">
        <f t="shared" si="99"/>
        <v>428</v>
      </c>
      <c r="FM38" s="49">
        <f t="shared" ref="FM38:FU38" si="101">+FL38*1.1</f>
        <v>470.8</v>
      </c>
      <c r="FN38" s="49">
        <f t="shared" si="101"/>
        <v>517.88000000000011</v>
      </c>
      <c r="FO38" s="49">
        <f t="shared" si="101"/>
        <v>569.66800000000012</v>
      </c>
      <c r="FP38" s="49">
        <f t="shared" si="101"/>
        <v>626.63480000000015</v>
      </c>
      <c r="FQ38" s="49">
        <f t="shared" si="101"/>
        <v>689.2982800000002</v>
      </c>
      <c r="FR38" s="49">
        <f t="shared" si="101"/>
        <v>758.22810800000025</v>
      </c>
      <c r="FS38" s="49">
        <f t="shared" si="101"/>
        <v>834.05091880000032</v>
      </c>
      <c r="FT38" s="49">
        <f t="shared" si="101"/>
        <v>917.45601068000042</v>
      </c>
      <c r="FU38" s="49">
        <f t="shared" si="101"/>
        <v>1009.2016117480006</v>
      </c>
      <c r="FV38" s="49">
        <f>+FU38*0.1</f>
        <v>100.92016117480006</v>
      </c>
    </row>
    <row r="39" spans="1:178" x14ac:dyDescent="0.25">
      <c r="A39" s="102"/>
      <c r="B39" s="38" t="s">
        <v>981</v>
      </c>
      <c r="C39"/>
      <c r="D39"/>
      <c r="E39"/>
      <c r="F39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97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>
        <v>28.4</v>
      </c>
      <c r="DL39" s="51"/>
      <c r="DM39" s="51"/>
      <c r="DN39" s="51"/>
      <c r="DO39" s="51">
        <v>30.9</v>
      </c>
      <c r="DP39" s="51">
        <v>28.7</v>
      </c>
      <c r="DQ39" s="51">
        <v>29.2</v>
      </c>
      <c r="DR39" s="51">
        <f>+DQ39</f>
        <v>29.2</v>
      </c>
      <c r="DS39" s="51">
        <v>19</v>
      </c>
      <c r="DT39" s="51">
        <f>+DS39</f>
        <v>19</v>
      </c>
      <c r="DU39" s="51">
        <f>+DT39</f>
        <v>19</v>
      </c>
      <c r="DV39" s="51">
        <f>+DU39</f>
        <v>19</v>
      </c>
      <c r="DW39" s="49"/>
      <c r="DX39" s="49"/>
      <c r="DY39" s="49"/>
      <c r="DZ39" s="49"/>
      <c r="EA39" s="49"/>
      <c r="EB39" s="49"/>
      <c r="EC39" s="49"/>
      <c r="ED39" s="49"/>
      <c r="EE39" s="49"/>
      <c r="EF39" s="49"/>
      <c r="EG39" s="49"/>
      <c r="EH39" s="49"/>
      <c r="EI39" s="49"/>
      <c r="EJ39" s="49"/>
      <c r="EK39" s="49"/>
      <c r="EL39" s="49"/>
      <c r="EM39" s="49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49"/>
      <c r="FG39" s="49"/>
      <c r="FH39" s="49"/>
      <c r="FI39" s="49"/>
      <c r="FJ39" s="49">
        <f t="shared" si="10"/>
        <v>28.4</v>
      </c>
      <c r="FK39" s="49">
        <f>SUM(Model!DO39:DR39)</f>
        <v>118</v>
      </c>
      <c r="FL39" s="49">
        <f t="shared" si="99"/>
        <v>76</v>
      </c>
      <c r="FM39" s="49">
        <f>+FL39*1.1</f>
        <v>83.600000000000009</v>
      </c>
      <c r="FN39" s="49">
        <f t="shared" ref="FN39:FV39" si="102">+FM39*1.1</f>
        <v>91.960000000000022</v>
      </c>
      <c r="FO39" s="49">
        <f t="shared" si="102"/>
        <v>101.15600000000003</v>
      </c>
      <c r="FP39" s="49">
        <f t="shared" si="102"/>
        <v>111.27160000000005</v>
      </c>
      <c r="FQ39" s="49">
        <f t="shared" si="102"/>
        <v>122.39876000000007</v>
      </c>
      <c r="FR39" s="49">
        <f t="shared" si="102"/>
        <v>134.63863600000008</v>
      </c>
      <c r="FS39" s="49">
        <f t="shared" si="102"/>
        <v>148.1024996000001</v>
      </c>
      <c r="FT39" s="49">
        <f t="shared" si="102"/>
        <v>162.91274956000012</v>
      </c>
      <c r="FU39" s="49">
        <f t="shared" si="102"/>
        <v>179.20402451600015</v>
      </c>
      <c r="FV39" s="49">
        <f t="shared" si="102"/>
        <v>197.12442696760019</v>
      </c>
    </row>
    <row r="40" spans="1:178" x14ac:dyDescent="0.25">
      <c r="A40" s="102"/>
      <c r="B40" s="38" t="s">
        <v>853</v>
      </c>
      <c r="C40"/>
      <c r="D40"/>
      <c r="E40"/>
      <c r="F40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97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97"/>
      <c r="DH40" s="97"/>
      <c r="DI40" s="97"/>
      <c r="DJ40" s="97"/>
      <c r="DK40" s="97"/>
      <c r="DL40" s="51"/>
      <c r="DM40" s="51"/>
      <c r="DN40" s="51"/>
      <c r="DO40" s="51">
        <v>3.1</v>
      </c>
      <c r="DP40" s="51">
        <v>4.3</v>
      </c>
      <c r="DQ40" s="51">
        <v>14.9</v>
      </c>
      <c r="DR40" s="51">
        <f>+DQ40+5</f>
        <v>19.899999999999999</v>
      </c>
      <c r="DS40" s="51">
        <v>60.2</v>
      </c>
      <c r="DT40" s="51">
        <f>+DS40+5</f>
        <v>65.2</v>
      </c>
      <c r="DU40" s="51">
        <f>+DT40+5</f>
        <v>70.2</v>
      </c>
      <c r="DV40" s="51">
        <f>+DU40+5</f>
        <v>75.2</v>
      </c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49"/>
      <c r="FG40" s="49"/>
      <c r="FH40" s="49"/>
      <c r="FI40" s="49"/>
      <c r="FJ40" s="49"/>
      <c r="FK40" s="49">
        <f>SUM(Model!DO40:DR40)</f>
        <v>42.2</v>
      </c>
      <c r="FL40" s="49">
        <f t="shared" si="99"/>
        <v>270.8</v>
      </c>
      <c r="FM40" s="49">
        <f t="shared" ref="FM40:FV40" si="103">+FL40*1.1</f>
        <v>297.88000000000005</v>
      </c>
      <c r="FN40" s="49">
        <f t="shared" si="103"/>
        <v>327.66800000000006</v>
      </c>
      <c r="FO40" s="49">
        <f t="shared" si="103"/>
        <v>360.43480000000011</v>
      </c>
      <c r="FP40" s="49">
        <f t="shared" si="103"/>
        <v>396.47828000000015</v>
      </c>
      <c r="FQ40" s="49">
        <f t="shared" si="103"/>
        <v>436.12610800000022</v>
      </c>
      <c r="FR40" s="49">
        <f t="shared" si="103"/>
        <v>479.7387188000003</v>
      </c>
      <c r="FS40" s="49">
        <f t="shared" si="103"/>
        <v>527.7125906800004</v>
      </c>
      <c r="FT40" s="49">
        <f t="shared" si="103"/>
        <v>580.48384974800047</v>
      </c>
      <c r="FU40" s="49">
        <f t="shared" si="103"/>
        <v>638.53223472280058</v>
      </c>
      <c r="FV40" s="49">
        <f t="shared" si="103"/>
        <v>702.38545819508067</v>
      </c>
    </row>
    <row r="41" spans="1:178" x14ac:dyDescent="0.25">
      <c r="A41" s="102"/>
      <c r="B41" s="38" t="s">
        <v>374</v>
      </c>
      <c r="C41"/>
      <c r="D41"/>
      <c r="E41"/>
      <c r="F4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97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>
        <v>2.6</v>
      </c>
      <c r="CZ41" s="52">
        <v>8.1</v>
      </c>
      <c r="DA41" s="52">
        <v>10.6</v>
      </c>
      <c r="DB41" s="52">
        <v>13.2</v>
      </c>
      <c r="DC41" s="52">
        <v>16.899999999999999</v>
      </c>
      <c r="DD41" s="52">
        <v>7.9</v>
      </c>
      <c r="DE41" s="52">
        <v>4.9000000000000004</v>
      </c>
      <c r="DF41" s="52">
        <f>15.3+17.6-DE41-DD41-DC41</f>
        <v>3.2000000000000099</v>
      </c>
      <c r="DG41" s="52">
        <v>4.5</v>
      </c>
      <c r="DH41" s="52">
        <v>4</v>
      </c>
      <c r="DI41" s="52">
        <v>3.6</v>
      </c>
      <c r="DJ41" s="52">
        <f>20+12.1-DI41-DH41-DG41</f>
        <v>20</v>
      </c>
      <c r="DK41" s="52">
        <v>22</v>
      </c>
      <c r="DL41" s="52">
        <v>5.7</v>
      </c>
      <c r="DM41" s="52">
        <v>11.4</v>
      </c>
      <c r="DN41" s="52">
        <v>23.3</v>
      </c>
      <c r="DO41" s="52"/>
      <c r="DP41" s="52"/>
      <c r="DQ41" s="52"/>
      <c r="DR41" s="52"/>
      <c r="DS41" s="52"/>
      <c r="DT41" s="52"/>
      <c r="DU41" s="52"/>
      <c r="DV41" s="51"/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/>
      <c r="EI41" s="49"/>
      <c r="EJ41" s="49"/>
      <c r="EK41" s="49"/>
      <c r="EL41" s="49"/>
      <c r="EM41" s="49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49"/>
      <c r="FG41" s="49">
        <f t="shared" si="15"/>
        <v>34.5</v>
      </c>
      <c r="FH41" s="49">
        <f t="shared" si="16"/>
        <v>32.900000000000006</v>
      </c>
      <c r="FI41" s="49">
        <f t="shared" si="9"/>
        <v>32.1</v>
      </c>
      <c r="FJ41" s="49">
        <f t="shared" si="10"/>
        <v>62.400000000000006</v>
      </c>
      <c r="FK41" s="49"/>
      <c r="FL41" s="49"/>
      <c r="FM41" s="49"/>
      <c r="FN41" s="49"/>
      <c r="FO41" s="49"/>
      <c r="FP41" s="49"/>
      <c r="FQ41" s="49"/>
    </row>
    <row r="42" spans="1:178" x14ac:dyDescent="0.25">
      <c r="A42" s="102"/>
      <c r="B42" s="38" t="s">
        <v>494</v>
      </c>
      <c r="C42"/>
      <c r="D42"/>
      <c r="E42"/>
      <c r="F42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97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>
        <v>28</v>
      </c>
      <c r="CZ42" s="52">
        <v>22.7</v>
      </c>
      <c r="DA42" s="52">
        <v>24.8</v>
      </c>
      <c r="DB42" s="52">
        <v>22.3</v>
      </c>
      <c r="DC42" s="52">
        <v>21.8</v>
      </c>
      <c r="DD42" s="52">
        <v>9.3000000000000007</v>
      </c>
      <c r="DE42" s="52">
        <v>10.4</v>
      </c>
      <c r="DF42" s="52">
        <v>8.8000000000000007</v>
      </c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49"/>
      <c r="FG42" s="49">
        <f t="shared" si="15"/>
        <v>97.8</v>
      </c>
      <c r="FH42" s="49">
        <f t="shared" si="16"/>
        <v>50.3</v>
      </c>
      <c r="FI42" s="49"/>
      <c r="FJ42" s="49"/>
      <c r="FK42" s="49"/>
      <c r="FL42" s="49"/>
      <c r="FM42" s="49"/>
      <c r="FN42" s="49"/>
      <c r="FO42" s="49"/>
      <c r="FP42" s="49"/>
      <c r="FQ42" s="49"/>
    </row>
    <row r="43" spans="1:178" x14ac:dyDescent="0.25">
      <c r="A43" s="102"/>
      <c r="B43" s="38" t="s">
        <v>455</v>
      </c>
      <c r="C43"/>
      <c r="D43"/>
      <c r="E43"/>
      <c r="F43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97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>
        <v>1.4</v>
      </c>
      <c r="CZ43" s="52">
        <v>2.9</v>
      </c>
      <c r="DA43" s="52">
        <v>4</v>
      </c>
      <c r="DB43" s="52">
        <v>4.4000000000000004</v>
      </c>
      <c r="DC43" s="52">
        <v>2.5</v>
      </c>
      <c r="DD43" s="52">
        <v>9.4</v>
      </c>
      <c r="DE43" s="52">
        <v>5.3</v>
      </c>
      <c r="DF43" s="52">
        <v>6.9</v>
      </c>
      <c r="DG43" s="52"/>
      <c r="DH43" s="52"/>
      <c r="DI43" s="52"/>
      <c r="DJ43" s="52"/>
      <c r="DK43" s="52">
        <v>10.1</v>
      </c>
      <c r="DL43" s="52"/>
      <c r="DM43" s="52"/>
      <c r="DN43" s="52"/>
      <c r="DO43" s="52">
        <v>8.5</v>
      </c>
      <c r="DP43" s="52">
        <v>6.7</v>
      </c>
      <c r="DQ43" s="52">
        <v>6.9</v>
      </c>
      <c r="DR43" s="52">
        <f>+DQ43</f>
        <v>6.9</v>
      </c>
      <c r="DS43" s="52">
        <v>5.4</v>
      </c>
      <c r="DT43" s="52">
        <f>+DS43</f>
        <v>5.4</v>
      </c>
      <c r="DU43" s="52">
        <f>+DT43</f>
        <v>5.4</v>
      </c>
      <c r="DV43" s="52">
        <f>+DU43</f>
        <v>5.4</v>
      </c>
      <c r="DW43" s="49"/>
      <c r="DX43" s="49"/>
      <c r="DY43" s="49"/>
      <c r="DZ43" s="49"/>
      <c r="EA43" s="49"/>
      <c r="EB43" s="49"/>
      <c r="EC43" s="49"/>
      <c r="ED43" s="49"/>
      <c r="EE43" s="49"/>
      <c r="EF43" s="49"/>
      <c r="EG43" s="49"/>
      <c r="EH43" s="49"/>
      <c r="EI43" s="49"/>
      <c r="EJ43" s="49"/>
      <c r="EK43" s="49"/>
      <c r="EL43" s="49"/>
      <c r="EM43" s="49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49"/>
      <c r="FG43" s="49">
        <f t="shared" si="15"/>
        <v>12.700000000000001</v>
      </c>
      <c r="FH43" s="49">
        <f t="shared" si="16"/>
        <v>24.1</v>
      </c>
      <c r="FI43" s="49"/>
      <c r="FJ43" s="49"/>
      <c r="FK43" s="49"/>
      <c r="FL43" s="49">
        <f t="shared" si="99"/>
        <v>21.6</v>
      </c>
      <c r="FM43" s="49"/>
      <c r="FN43" s="49"/>
      <c r="FO43" s="49"/>
      <c r="FP43" s="49"/>
      <c r="FQ43" s="49"/>
    </row>
    <row r="44" spans="1:178" x14ac:dyDescent="0.25">
      <c r="A44" s="102"/>
      <c r="B44" t="s">
        <v>15</v>
      </c>
      <c r="C44"/>
      <c r="D44"/>
      <c r="E44"/>
      <c r="F44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97"/>
      <c r="AI44" s="51">
        <v>55</v>
      </c>
      <c r="AJ44" s="51">
        <v>74.8</v>
      </c>
      <c r="AK44" s="51">
        <v>108</v>
      </c>
      <c r="AL44" s="51">
        <v>132.6</v>
      </c>
      <c r="AM44" s="51">
        <v>141.1</v>
      </c>
      <c r="AN44" s="51">
        <v>178.6</v>
      </c>
      <c r="AO44" s="51">
        <v>163.6</v>
      </c>
      <c r="AP44" s="51">
        <v>183.4</v>
      </c>
      <c r="AQ44" s="51">
        <v>119.8</v>
      </c>
      <c r="AR44" s="51">
        <v>123.5</v>
      </c>
      <c r="AS44" s="51">
        <v>140.9</v>
      </c>
      <c r="AT44" s="51">
        <v>168</v>
      </c>
      <c r="AU44" s="51">
        <v>152</v>
      </c>
      <c r="AV44" s="51">
        <v>144</v>
      </c>
      <c r="AW44" s="51">
        <v>126</v>
      </c>
      <c r="AX44" s="51">
        <v>156.30000000000001</v>
      </c>
      <c r="AY44" s="51">
        <v>139.9</v>
      </c>
      <c r="AZ44" s="51">
        <v>142.30000000000001</v>
      </c>
      <c r="BA44" s="51">
        <v>130.5</v>
      </c>
      <c r="BB44" s="51">
        <v>156.80000000000001</v>
      </c>
      <c r="BC44" s="51">
        <v>148</v>
      </c>
      <c r="BD44" s="51">
        <v>135.19999999999999</v>
      </c>
      <c r="BE44" s="51">
        <v>149.5</v>
      </c>
      <c r="BF44" s="51">
        <v>146.80000000000001</v>
      </c>
      <c r="BG44" s="51">
        <v>158.9</v>
      </c>
      <c r="BH44" s="51">
        <v>142.80000000000001</v>
      </c>
      <c r="BI44" s="51">
        <v>145.5</v>
      </c>
      <c r="BJ44" s="51">
        <v>162.19999999999999</v>
      </c>
      <c r="BK44" s="51">
        <v>146.4</v>
      </c>
      <c r="BL44" s="51">
        <v>147.1</v>
      </c>
      <c r="BM44" s="51">
        <v>127.9</v>
      </c>
      <c r="BN44" s="51">
        <v>155.4</v>
      </c>
      <c r="BO44" s="51">
        <v>138.69999999999999</v>
      </c>
      <c r="BP44" s="51">
        <v>157.69999999999999</v>
      </c>
      <c r="BQ44" s="51">
        <v>153.19999999999999</v>
      </c>
      <c r="BR44" s="51">
        <v>170.6</v>
      </c>
      <c r="BS44" s="51">
        <v>158.9</v>
      </c>
      <c r="BT44" s="51">
        <v>153</v>
      </c>
      <c r="BU44" s="51">
        <v>145.6</v>
      </c>
      <c r="BV44" s="51">
        <v>163.9</v>
      </c>
      <c r="BW44" s="51">
        <v>166.7</v>
      </c>
      <c r="BX44" s="51">
        <v>168.3</v>
      </c>
      <c r="BY44" s="51">
        <v>173.2</v>
      </c>
      <c r="BZ44" s="51">
        <v>201.1</v>
      </c>
      <c r="CA44" s="51">
        <v>154.4</v>
      </c>
      <c r="CB44" s="51">
        <v>197.4</v>
      </c>
      <c r="CC44" s="51">
        <v>191.9</v>
      </c>
      <c r="CD44" s="51">
        <v>194.9</v>
      </c>
      <c r="CE44" s="51">
        <v>173.7</v>
      </c>
      <c r="CF44" s="51">
        <v>191.8</v>
      </c>
      <c r="CG44" s="51">
        <v>196.9</v>
      </c>
      <c r="CH44" s="51">
        <v>221.6</v>
      </c>
      <c r="CI44" s="51">
        <v>188.1</v>
      </c>
      <c r="CJ44" s="51">
        <v>224.6</v>
      </c>
      <c r="CK44" s="51">
        <v>198.8</v>
      </c>
      <c r="CL44" s="51">
        <v>243.2</v>
      </c>
      <c r="CM44" s="51">
        <v>196.2</v>
      </c>
      <c r="CN44" s="51">
        <v>186.6</v>
      </c>
      <c r="CO44" s="51">
        <v>137.1</v>
      </c>
      <c r="CP44" s="51">
        <v>98.3</v>
      </c>
      <c r="CQ44" s="51">
        <v>130.69999999999999</v>
      </c>
      <c r="CR44" s="51">
        <v>114.2</v>
      </c>
      <c r="CS44" s="51">
        <v>98.7</v>
      </c>
      <c r="CT44" s="51">
        <v>107.2</v>
      </c>
      <c r="CU44" s="51">
        <v>66.2</v>
      </c>
      <c r="CV44" s="51">
        <v>82.6</v>
      </c>
      <c r="CW44" s="51">
        <v>52.1</v>
      </c>
      <c r="CX44" s="51">
        <f>242.5-CW44-CV44-CU44</f>
        <v>41.600000000000009</v>
      </c>
      <c r="CY44" s="51">
        <v>38.200000000000003</v>
      </c>
      <c r="CZ44" s="51">
        <v>22.5</v>
      </c>
      <c r="DA44" s="51">
        <v>32.700000000000003</v>
      </c>
      <c r="DB44" s="51">
        <v>35.1</v>
      </c>
      <c r="DC44" s="51">
        <v>38.6</v>
      </c>
      <c r="DD44" s="51">
        <v>40.5</v>
      </c>
      <c r="DE44" s="51">
        <v>35.200000000000003</v>
      </c>
      <c r="DF44" s="51">
        <v>36.1</v>
      </c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51"/>
      <c r="EO44" s="51">
        <v>3</v>
      </c>
      <c r="EP44" s="51">
        <v>370</v>
      </c>
      <c r="EQ44" s="51">
        <v>666</v>
      </c>
      <c r="ER44" s="51">
        <v>552</v>
      </c>
      <c r="ES44" s="51">
        <v>594</v>
      </c>
      <c r="ET44" s="51">
        <f>SUM(AY44:BB44)</f>
        <v>569.5</v>
      </c>
      <c r="EU44" s="51">
        <f>SUM(BC44:BF44)</f>
        <v>579.5</v>
      </c>
      <c r="EV44" s="51">
        <f>SUM(BG44:BJ44)</f>
        <v>609.40000000000009</v>
      </c>
      <c r="EW44" s="51">
        <f>SUM(BK44:BN44)</f>
        <v>576.79999999999995</v>
      </c>
      <c r="EX44" s="51">
        <f>SUM(BO44:BR44)</f>
        <v>620.19999999999993</v>
      </c>
      <c r="EY44" s="51">
        <f>SUM(BS44:BV44)</f>
        <v>621.4</v>
      </c>
      <c r="EZ44" s="51">
        <v>709.2</v>
      </c>
      <c r="FA44" s="51">
        <v>738.5</v>
      </c>
      <c r="FB44" s="51">
        <v>784</v>
      </c>
      <c r="FC44" s="51">
        <v>854.7</v>
      </c>
      <c r="FD44" s="51">
        <f>284.9+333.3</f>
        <v>618.20000000000005</v>
      </c>
      <c r="FE44" s="51">
        <v>450.8</v>
      </c>
      <c r="FF44" s="49">
        <f t="shared" si="19"/>
        <v>242.5</v>
      </c>
      <c r="FG44" s="49">
        <f t="shared" si="15"/>
        <v>128.5</v>
      </c>
      <c r="FH44" s="49">
        <f t="shared" si="16"/>
        <v>150.4</v>
      </c>
      <c r="FI44" s="49"/>
      <c r="FJ44" s="49"/>
      <c r="FK44" s="49"/>
      <c r="FL44" s="49"/>
      <c r="FM44" s="49"/>
      <c r="FN44" s="49"/>
      <c r="FO44" s="49"/>
      <c r="FP44" s="49"/>
      <c r="FQ44" s="49"/>
    </row>
    <row r="45" spans="1:178" x14ac:dyDescent="0.25">
      <c r="A45" s="102"/>
      <c r="B45" t="s">
        <v>69</v>
      </c>
      <c r="C45">
        <v>50</v>
      </c>
      <c r="D45">
        <v>60</v>
      </c>
      <c r="E45">
        <v>70</v>
      </c>
      <c r="F45">
        <f>269-E45-D45-C45</f>
        <v>89</v>
      </c>
      <c r="G45" s="51"/>
      <c r="H45" s="51">
        <v>67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97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>
        <v>102</v>
      </c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>
        <v>88.7</v>
      </c>
      <c r="CZ45" s="51">
        <v>46.2</v>
      </c>
      <c r="DA45" s="51">
        <v>50.7</v>
      </c>
      <c r="DB45" s="51">
        <v>110.8</v>
      </c>
      <c r="DC45" s="51">
        <v>64.900000000000006</v>
      </c>
      <c r="DD45" s="51">
        <v>22.4</v>
      </c>
      <c r="DE45" s="51">
        <v>50.2</v>
      </c>
      <c r="DF45" s="51">
        <v>51.4</v>
      </c>
      <c r="DG45" s="51"/>
      <c r="DH45" s="51"/>
      <c r="DI45" s="51"/>
      <c r="DJ45" s="51"/>
      <c r="DK45" s="51">
        <v>32.1</v>
      </c>
      <c r="DL45" s="51"/>
      <c r="DM45" s="51"/>
      <c r="DN45" s="51"/>
      <c r="DO45" s="51">
        <v>19.100000000000001</v>
      </c>
      <c r="DP45" s="51">
        <v>19.399999999999999</v>
      </c>
      <c r="DQ45" s="51">
        <v>22.5</v>
      </c>
      <c r="DR45" s="51">
        <f>+DQ45</f>
        <v>22.5</v>
      </c>
      <c r="DS45" s="51">
        <v>64.599999999999994</v>
      </c>
      <c r="DT45" s="51">
        <f>+DS45</f>
        <v>64.599999999999994</v>
      </c>
      <c r="DU45" s="51">
        <f>+DT45</f>
        <v>64.599999999999994</v>
      </c>
      <c r="DV45" s="51">
        <f>+DU45</f>
        <v>64.599999999999994</v>
      </c>
      <c r="DW45" s="49"/>
      <c r="DX45" s="49"/>
      <c r="DY45" s="49"/>
      <c r="DZ45" s="49"/>
      <c r="EA45" s="49"/>
      <c r="EB45" s="49"/>
      <c r="EC45" s="49"/>
      <c r="ED45" s="49"/>
      <c r="EE45" s="49"/>
      <c r="EF45" s="49"/>
      <c r="EG45" s="49"/>
      <c r="EH45" s="49">
        <v>269</v>
      </c>
      <c r="EI45" s="49"/>
      <c r="EJ45" s="49"/>
      <c r="EK45" s="49"/>
      <c r="EL45" s="49">
        <v>300</v>
      </c>
      <c r="EM45" s="49">
        <v>300.7</v>
      </c>
      <c r="EN45" s="51"/>
      <c r="EO45" s="51">
        <v>329</v>
      </c>
      <c r="EP45" s="51">
        <v>371</v>
      </c>
      <c r="EQ45" s="51">
        <v>430</v>
      </c>
      <c r="ER45" s="51">
        <v>414</v>
      </c>
      <c r="ES45" s="51">
        <v>413</v>
      </c>
      <c r="ET45" s="51">
        <f>ES45*1.05</f>
        <v>433.65000000000003</v>
      </c>
      <c r="EU45" s="51">
        <f>ET45*1.05</f>
        <v>455.33250000000004</v>
      </c>
      <c r="EV45" s="51">
        <f>EU45*1.05</f>
        <v>478.09912500000007</v>
      </c>
      <c r="EW45" s="51"/>
      <c r="EX45" s="51"/>
      <c r="EY45" s="51"/>
      <c r="EZ45" s="51"/>
      <c r="FA45" s="51"/>
      <c r="FB45" s="51"/>
      <c r="FC45" s="51"/>
      <c r="FD45" s="51"/>
      <c r="FE45" s="53"/>
      <c r="FF45" s="49"/>
      <c r="FG45" s="49">
        <f t="shared" ref="FG45" si="104">SUM(CY45:DB45)</f>
        <v>296.40000000000003</v>
      </c>
      <c r="FH45" s="49">
        <f>SUM(DC45:DF45)</f>
        <v>188.9</v>
      </c>
      <c r="FI45" s="49"/>
      <c r="FJ45" s="49"/>
      <c r="FK45" s="49"/>
      <c r="FL45" s="49">
        <f t="shared" si="99"/>
        <v>258.39999999999998</v>
      </c>
    </row>
    <row r="46" spans="1:178" ht="1.5" customHeight="1" x14ac:dyDescent="0.25">
      <c r="A46" s="102"/>
      <c r="B46" s="38" t="s">
        <v>508</v>
      </c>
      <c r="C46"/>
      <c r="D46"/>
      <c r="E46"/>
      <c r="F46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97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>
        <v>0.6</v>
      </c>
      <c r="CI46" s="51">
        <v>1.7</v>
      </c>
      <c r="CJ46" s="51">
        <v>4</v>
      </c>
      <c r="CK46" s="51">
        <v>5.3</v>
      </c>
      <c r="CL46" s="51">
        <v>3.8</v>
      </c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/>
      <c r="EL46" s="49"/>
      <c r="EM46" s="49"/>
      <c r="EN46" s="51"/>
      <c r="EO46" s="51"/>
      <c r="EP46" s="51"/>
      <c r="EQ46" s="51"/>
      <c r="ER46" s="51"/>
      <c r="ES46" s="51"/>
      <c r="ET46" s="51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49"/>
      <c r="FG46" s="49"/>
      <c r="FH46" s="49"/>
      <c r="FI46" s="49"/>
      <c r="FJ46" s="49"/>
      <c r="FK46" s="49"/>
      <c r="FL46" s="49"/>
      <c r="FM46" s="49"/>
      <c r="FN46" s="49"/>
      <c r="FO46" s="49"/>
      <c r="FP46" s="49"/>
      <c r="FQ46" s="49"/>
    </row>
    <row r="47" spans="1:178" ht="1.5" customHeight="1" x14ac:dyDescent="0.25">
      <c r="A47" s="102"/>
      <c r="B47" s="38" t="s">
        <v>507</v>
      </c>
      <c r="C47"/>
      <c r="D47"/>
      <c r="E47"/>
      <c r="F47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97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>
        <v>11.9</v>
      </c>
      <c r="CM47" s="51">
        <v>42.1</v>
      </c>
      <c r="CN47" s="51">
        <v>47.4</v>
      </c>
      <c r="CO47" s="51">
        <v>54.5</v>
      </c>
      <c r="CP47" s="51">
        <v>59</v>
      </c>
      <c r="CQ47" s="51">
        <v>64.400000000000006</v>
      </c>
      <c r="CR47" s="51">
        <v>79.900000000000006</v>
      </c>
      <c r="CS47" s="51">
        <v>76.900000000000006</v>
      </c>
      <c r="CT47" s="51">
        <v>83.5</v>
      </c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49"/>
      <c r="FG47" s="49"/>
      <c r="FH47" s="49"/>
      <c r="FI47" s="49"/>
      <c r="FJ47" s="49"/>
      <c r="FK47" s="49"/>
      <c r="FL47" s="49"/>
      <c r="FM47" s="49"/>
      <c r="FN47" s="49"/>
      <c r="FO47" s="49"/>
      <c r="FP47" s="49"/>
      <c r="FQ47" s="49"/>
    </row>
    <row r="48" spans="1:178" ht="1.5" customHeight="1" x14ac:dyDescent="0.25">
      <c r="A48" s="102"/>
      <c r="B48" t="s">
        <v>79</v>
      </c>
      <c r="C48"/>
      <c r="D48"/>
      <c r="E48"/>
      <c r="F48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97"/>
      <c r="AI48" s="51"/>
      <c r="AJ48" s="51"/>
      <c r="AK48" s="51"/>
      <c r="AL48" s="51"/>
      <c r="AM48" s="51"/>
      <c r="AN48" s="51"/>
      <c r="AO48" s="51"/>
      <c r="AP48" s="51">
        <v>251.4</v>
      </c>
      <c r="AQ48" s="51">
        <f>AU48/1.01</f>
        <v>196.33663366336634</v>
      </c>
      <c r="AR48" s="51">
        <v>201</v>
      </c>
      <c r="AS48" s="51">
        <v>216</v>
      </c>
      <c r="AT48" s="51">
        <v>251.4</v>
      </c>
      <c r="AU48" s="51">
        <v>198.3</v>
      </c>
      <c r="AV48" s="51">
        <v>201</v>
      </c>
      <c r="AW48" s="51">
        <v>216</v>
      </c>
      <c r="AX48" s="51">
        <v>236.6</v>
      </c>
      <c r="AY48" s="51">
        <v>210</v>
      </c>
      <c r="AZ48" s="51">
        <v>214.7</v>
      </c>
      <c r="BA48" s="51">
        <v>236.8</v>
      </c>
      <c r="BB48" s="51">
        <v>329.4</v>
      </c>
      <c r="BC48" s="51"/>
      <c r="BD48" s="51">
        <v>254.5</v>
      </c>
      <c r="BE48" s="51">
        <v>277.10000000000002</v>
      </c>
      <c r="BF48" s="51">
        <v>326.39999999999998</v>
      </c>
      <c r="BG48" s="51">
        <v>264.10000000000002</v>
      </c>
      <c r="BH48" s="51">
        <v>275.39999999999998</v>
      </c>
      <c r="BI48" s="51">
        <v>314.60000000000002</v>
      </c>
      <c r="BJ48" s="51">
        <v>353.1</v>
      </c>
      <c r="BK48" s="51">
        <v>289.60000000000002</v>
      </c>
      <c r="BL48" s="51">
        <v>324.2</v>
      </c>
      <c r="BM48" s="51">
        <v>353.2</v>
      </c>
      <c r="BN48" s="51">
        <v>424.3</v>
      </c>
      <c r="BO48" s="51">
        <v>369.8</v>
      </c>
      <c r="BP48" s="51">
        <v>389.5</v>
      </c>
      <c r="BQ48" s="51">
        <v>451</v>
      </c>
      <c r="BR48" s="51">
        <v>468.2</v>
      </c>
      <c r="BS48" s="51">
        <v>490.7</v>
      </c>
      <c r="BT48" s="51">
        <v>512.20000000000005</v>
      </c>
      <c r="BU48" s="51">
        <v>479.4</v>
      </c>
      <c r="BV48" s="51">
        <v>554.1</v>
      </c>
      <c r="BW48" s="51">
        <v>499.1</v>
      </c>
      <c r="BX48" s="51">
        <v>543.5</v>
      </c>
      <c r="BY48" s="51">
        <v>530.29999999999995</v>
      </c>
      <c r="BZ48" s="51">
        <v>578.4</v>
      </c>
      <c r="CA48" s="51">
        <v>527.4</v>
      </c>
      <c r="CB48" s="51">
        <v>601.20000000000005</v>
      </c>
      <c r="CC48" s="51">
        <v>584.70000000000005</v>
      </c>
      <c r="CD48" s="51">
        <v>633.29999999999995</v>
      </c>
      <c r="CE48" s="51">
        <v>749.8</v>
      </c>
      <c r="CF48" s="51">
        <v>840.8</v>
      </c>
      <c r="CG48" s="51">
        <v>778.8</v>
      </c>
      <c r="CH48" s="51">
        <v>811.7</v>
      </c>
      <c r="CI48" s="51">
        <v>754.6</v>
      </c>
      <c r="CJ48" s="51">
        <v>859.8</v>
      </c>
      <c r="CK48" s="51">
        <v>706.2</v>
      </c>
      <c r="CL48" s="51">
        <v>837.6</v>
      </c>
      <c r="CM48" s="51">
        <v>769.4</v>
      </c>
      <c r="CN48" s="51">
        <v>784.8</v>
      </c>
      <c r="CO48" s="51">
        <v>740.6</v>
      </c>
      <c r="CP48" s="51">
        <v>790.9</v>
      </c>
      <c r="CQ48" s="94" t="s">
        <v>750</v>
      </c>
      <c r="CR48" s="51">
        <v>792.1</v>
      </c>
      <c r="CS48" s="51">
        <v>772.7</v>
      </c>
      <c r="CT48" s="51">
        <v>816.5</v>
      </c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>
        <v>464</v>
      </c>
      <c r="EH48" s="49">
        <v>512.4</v>
      </c>
      <c r="EI48" s="49"/>
      <c r="EJ48" s="49"/>
      <c r="EK48" s="49">
        <v>614.4</v>
      </c>
      <c r="EL48" s="49">
        <v>627.79999999999995</v>
      </c>
      <c r="EM48" s="49">
        <v>668.5</v>
      </c>
      <c r="EN48" s="51"/>
      <c r="EO48" s="51">
        <v>693</v>
      </c>
      <c r="EP48" s="51">
        <v>727</v>
      </c>
      <c r="EQ48" s="51">
        <v>798</v>
      </c>
      <c r="ER48" s="51">
        <v>864</v>
      </c>
      <c r="ES48" s="51">
        <v>882</v>
      </c>
      <c r="ET48" s="51">
        <f>ES48*1.05</f>
        <v>926.1</v>
      </c>
      <c r="EU48" s="51">
        <f t="shared" si="39"/>
        <v>858</v>
      </c>
      <c r="EV48" s="51">
        <f t="shared" si="40"/>
        <v>1207.2</v>
      </c>
      <c r="EW48" s="51">
        <f t="shared" si="41"/>
        <v>1391.3</v>
      </c>
      <c r="EX48" s="51">
        <f t="shared" si="42"/>
        <v>1678.5</v>
      </c>
      <c r="EY48" s="51">
        <f t="shared" ref="EY48:EY52" si="105">SUM(BS48:BV48)</f>
        <v>2036.4</v>
      </c>
      <c r="EZ48" s="51">
        <v>2151.5</v>
      </c>
      <c r="FA48" s="51">
        <v>2346.6</v>
      </c>
      <c r="FB48" s="51">
        <v>3181</v>
      </c>
      <c r="FC48" s="51">
        <v>3158.2</v>
      </c>
      <c r="FD48" s="51"/>
      <c r="FE48" s="51"/>
      <c r="FF48" s="49"/>
      <c r="FG48" s="49"/>
      <c r="FH48" s="49"/>
      <c r="FI48" s="49"/>
      <c r="FJ48" s="49"/>
      <c r="FK48" s="49"/>
      <c r="FL48" s="49"/>
    </row>
    <row r="49" spans="1:168" s="38" customFormat="1" ht="1.5" customHeight="1" x14ac:dyDescent="0.25">
      <c r="A49" s="106"/>
      <c r="B49" s="38" t="s">
        <v>261</v>
      </c>
      <c r="C49"/>
      <c r="D49"/>
      <c r="E49"/>
      <c r="F49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97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>
        <v>22.6</v>
      </c>
      <c r="BJ49" s="52">
        <v>4</v>
      </c>
      <c r="BK49" s="52">
        <v>8.8000000000000007</v>
      </c>
      <c r="BL49" s="52">
        <v>22.9</v>
      </c>
      <c r="BM49" s="52">
        <v>36.299999999999997</v>
      </c>
      <c r="BN49" s="52">
        <v>47</v>
      </c>
      <c r="BO49" s="52">
        <v>56.3</v>
      </c>
      <c r="BP49" s="52">
        <v>71.7</v>
      </c>
      <c r="BQ49" s="52">
        <v>83.5</v>
      </c>
      <c r="BR49" s="52">
        <v>90.9</v>
      </c>
      <c r="BS49" s="52">
        <v>115.8</v>
      </c>
      <c r="BT49" s="52">
        <v>111</v>
      </c>
      <c r="BU49" s="52">
        <v>109.7</v>
      </c>
      <c r="BV49" s="52">
        <v>120.6</v>
      </c>
      <c r="BW49" s="52">
        <v>115.9</v>
      </c>
      <c r="BX49" s="52">
        <v>137.4</v>
      </c>
      <c r="BY49" s="52">
        <v>124.9</v>
      </c>
      <c r="BZ49" s="52">
        <v>130.6</v>
      </c>
      <c r="CA49" s="52">
        <v>119.3</v>
      </c>
      <c r="CB49" s="52">
        <v>133.6</v>
      </c>
      <c r="CC49" s="52">
        <v>131.5</v>
      </c>
      <c r="CD49" s="52">
        <v>137.80000000000001</v>
      </c>
      <c r="CE49" s="52">
        <v>121.8</v>
      </c>
      <c r="CF49" s="52">
        <v>128.80000000000001</v>
      </c>
      <c r="CG49" s="52">
        <v>132.1</v>
      </c>
      <c r="CH49" s="52">
        <v>140.30000000000001</v>
      </c>
      <c r="CI49" s="52">
        <v>131.5</v>
      </c>
      <c r="CJ49" s="52">
        <v>135.1</v>
      </c>
      <c r="CK49" s="52">
        <v>127.7</v>
      </c>
      <c r="CL49" s="52">
        <v>140.9</v>
      </c>
      <c r="CM49" s="52"/>
      <c r="CN49" s="52"/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  <c r="DK49" s="52"/>
      <c r="DL49" s="52"/>
      <c r="DM49" s="52"/>
      <c r="DN49" s="52"/>
      <c r="DO49" s="52"/>
      <c r="DP49" s="52"/>
      <c r="DQ49" s="52"/>
      <c r="DR49" s="52"/>
      <c r="DS49" s="52"/>
      <c r="DT49" s="52"/>
      <c r="DU49" s="52"/>
      <c r="DV49" s="52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/>
      <c r="EH49" s="50"/>
      <c r="EI49" s="50"/>
      <c r="EJ49" s="50"/>
      <c r="EK49" s="50"/>
      <c r="EL49" s="50"/>
      <c r="EM49" s="50"/>
      <c r="EN49" s="52"/>
      <c r="EO49" s="52"/>
      <c r="EP49" s="52"/>
      <c r="EQ49" s="52"/>
      <c r="ER49" s="52"/>
      <c r="ES49" s="52"/>
      <c r="ET49" s="52"/>
      <c r="EU49" s="52"/>
      <c r="EV49" s="52">
        <f>SUM(BG49:BJ49)</f>
        <v>26.6</v>
      </c>
      <c r="EW49" s="52">
        <f>SUM(BK49:BN49)</f>
        <v>115</v>
      </c>
      <c r="EX49" s="51">
        <f t="shared" si="42"/>
        <v>302.39999999999998</v>
      </c>
      <c r="EY49" s="51">
        <f t="shared" si="105"/>
        <v>457.1</v>
      </c>
      <c r="EZ49" s="52">
        <v>508.7</v>
      </c>
      <c r="FA49" s="52">
        <v>522.20000000000005</v>
      </c>
      <c r="FB49" s="52">
        <v>523</v>
      </c>
      <c r="FC49" s="52">
        <v>535.20000000000005</v>
      </c>
      <c r="FD49" s="52"/>
      <c r="FE49" s="52"/>
      <c r="FF49" s="49"/>
      <c r="FG49" s="49"/>
      <c r="FH49" s="49"/>
      <c r="FI49" s="49"/>
      <c r="FJ49" s="49"/>
      <c r="FK49" s="49"/>
      <c r="FL49" s="49"/>
    </row>
    <row r="50" spans="1:168" ht="1.5" customHeight="1" x14ac:dyDescent="0.25">
      <c r="A50" s="102"/>
      <c r="B50" t="s">
        <v>55</v>
      </c>
      <c r="C50"/>
      <c r="D50"/>
      <c r="E50"/>
      <c r="F50"/>
      <c r="G50" s="97"/>
      <c r="H50" s="51">
        <v>12</v>
      </c>
      <c r="I50" s="51">
        <v>22</v>
      </c>
      <c r="J50" s="51">
        <f>62-I50-H50</f>
        <v>28</v>
      </c>
      <c r="K50" s="51">
        <v>33.1</v>
      </c>
      <c r="L50" s="51">
        <v>41</v>
      </c>
      <c r="M50" s="51">
        <v>47.3</v>
      </c>
      <c r="N50" s="51">
        <f>174.8-M50-L50-K50</f>
        <v>53.400000000000013</v>
      </c>
      <c r="O50" s="51">
        <v>57</v>
      </c>
      <c r="P50" s="51">
        <v>85</v>
      </c>
      <c r="Q50" s="51">
        <v>69</v>
      </c>
      <c r="R50" s="51">
        <f>306.8-Q50-P50-O50</f>
        <v>95.800000000000011</v>
      </c>
      <c r="S50" s="51">
        <v>114.4</v>
      </c>
      <c r="T50" s="51">
        <v>86.5</v>
      </c>
      <c r="U50" s="51">
        <v>119.2</v>
      </c>
      <c r="V50" s="51">
        <f>455.8-U50-T50-S50</f>
        <v>135.70000000000002</v>
      </c>
      <c r="W50" s="51">
        <v>136</v>
      </c>
      <c r="X50" s="51">
        <v>107.9</v>
      </c>
      <c r="Y50" s="51">
        <v>155.1</v>
      </c>
      <c r="Z50" s="51">
        <f>559.3-Y50-X50-W50</f>
        <v>160.29999999999995</v>
      </c>
      <c r="AA50" s="51">
        <v>174</v>
      </c>
      <c r="AB50" s="51">
        <v>160.9</v>
      </c>
      <c r="AC50" s="51">
        <v>187</v>
      </c>
      <c r="AD50" s="51">
        <f>722.9-AC50-AB50-AA50</f>
        <v>201</v>
      </c>
      <c r="AE50" s="51">
        <v>197.5</v>
      </c>
      <c r="AF50" s="51">
        <v>219</v>
      </c>
      <c r="AG50" s="51">
        <v>197.2</v>
      </c>
      <c r="AH50" s="51">
        <f>874.6-AG50-AF50-AE50</f>
        <v>260.90000000000009</v>
      </c>
      <c r="AI50" s="51">
        <v>233.9</v>
      </c>
      <c r="AJ50" s="51">
        <v>254.6</v>
      </c>
      <c r="AK50" s="51">
        <v>250.6</v>
      </c>
      <c r="AL50" s="51">
        <v>282.60000000000002</v>
      </c>
      <c r="AM50" s="51">
        <v>279</v>
      </c>
      <c r="AN50" s="51">
        <v>293.3</v>
      </c>
      <c r="AO50" s="51">
        <v>312.7</v>
      </c>
      <c r="AP50" s="51">
        <v>329.5</v>
      </c>
      <c r="AQ50" s="51">
        <v>304.60000000000002</v>
      </c>
      <c r="AR50" s="51">
        <v>343</v>
      </c>
      <c r="AS50" s="51">
        <v>334.3</v>
      </c>
      <c r="AT50" s="51">
        <v>352.6</v>
      </c>
      <c r="AU50" s="51">
        <v>339</v>
      </c>
      <c r="AV50" s="51">
        <v>344</v>
      </c>
      <c r="AW50" s="51">
        <v>355</v>
      </c>
      <c r="AX50" s="51">
        <v>371.3</v>
      </c>
      <c r="AY50" s="51">
        <v>376.9</v>
      </c>
      <c r="AZ50" s="51">
        <v>395.6</v>
      </c>
      <c r="BA50" s="51">
        <v>394.4</v>
      </c>
      <c r="BB50" s="51">
        <v>425.5</v>
      </c>
      <c r="BC50" s="51">
        <v>426.2</v>
      </c>
      <c r="BD50" s="51">
        <v>440.1</v>
      </c>
      <c r="BE50" s="51">
        <v>440.2</v>
      </c>
      <c r="BF50" s="51">
        <v>413.3</v>
      </c>
      <c r="BG50" s="51">
        <v>367.8</v>
      </c>
      <c r="BH50" s="51">
        <v>353.2</v>
      </c>
      <c r="BI50" s="51">
        <v>331.8</v>
      </c>
      <c r="BJ50" s="51">
        <v>310.5</v>
      </c>
      <c r="BK50" s="51">
        <v>287.8</v>
      </c>
      <c r="BL50" s="51">
        <v>293.39999999999998</v>
      </c>
      <c r="BM50" s="51">
        <v>324.60000000000002</v>
      </c>
      <c r="BN50" s="51">
        <v>243.6</v>
      </c>
      <c r="BO50" s="51">
        <v>156.1</v>
      </c>
      <c r="BP50" s="51">
        <v>112.4</v>
      </c>
      <c r="BQ50" s="51">
        <v>91</v>
      </c>
      <c r="BR50" s="51">
        <v>92.6</v>
      </c>
      <c r="BS50" s="51">
        <v>0</v>
      </c>
      <c r="BT50" s="51">
        <v>0</v>
      </c>
      <c r="BU50" s="51">
        <v>0</v>
      </c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  <c r="DK50" s="52"/>
      <c r="DL50" s="52"/>
      <c r="DM50" s="52"/>
      <c r="DN50" s="52"/>
      <c r="DO50" s="52"/>
      <c r="DP50" s="52"/>
      <c r="DQ50" s="52"/>
      <c r="DR50" s="52"/>
      <c r="DS50" s="52"/>
      <c r="DT50" s="52"/>
      <c r="DU50" s="52"/>
      <c r="DV50" s="52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/>
      <c r="EI50" s="49"/>
      <c r="EJ50" s="49"/>
      <c r="EK50" s="49">
        <v>306.8</v>
      </c>
      <c r="EL50" s="49">
        <v>455.8</v>
      </c>
      <c r="EM50" s="49">
        <v>559.29999999999995</v>
      </c>
      <c r="EN50" s="51">
        <v>722.9</v>
      </c>
      <c r="EO50" s="51">
        <v>875</v>
      </c>
      <c r="EP50" s="51">
        <v>1022</v>
      </c>
      <c r="EQ50" s="51">
        <v>1214</v>
      </c>
      <c r="ER50" s="51">
        <v>1335</v>
      </c>
      <c r="ES50" s="51">
        <f>SUM(AU50:AX50)</f>
        <v>1409.3</v>
      </c>
      <c r="ET50" s="51">
        <f>SUM(AY50:BB50)</f>
        <v>1592.4</v>
      </c>
      <c r="EU50" s="51">
        <f>SUM(BC50:BF50)</f>
        <v>1719.8</v>
      </c>
      <c r="EV50" s="51">
        <f>SUM(BG50:BJ50)</f>
        <v>1363.3</v>
      </c>
      <c r="EW50" s="51">
        <f>SUM(BK50:BN50)</f>
        <v>1149.4000000000001</v>
      </c>
      <c r="EX50" s="51">
        <f>SUM(BO50:BR50)</f>
        <v>452.1</v>
      </c>
      <c r="EY50" s="51">
        <f t="shared" si="105"/>
        <v>0</v>
      </c>
      <c r="EZ50" s="51"/>
      <c r="FA50" s="51"/>
      <c r="FB50" s="51"/>
      <c r="FC50" s="51"/>
      <c r="FD50" s="51"/>
      <c r="FE50" s="53"/>
      <c r="FF50" s="49"/>
      <c r="FG50" s="49"/>
      <c r="FH50" s="49"/>
      <c r="FI50" s="49"/>
      <c r="FJ50" s="49"/>
      <c r="FK50" s="49"/>
      <c r="FL50" s="49"/>
    </row>
    <row r="51" spans="1:168" ht="1.5" customHeight="1" x14ac:dyDescent="0.25">
      <c r="A51" s="102"/>
      <c r="B51" s="38" t="s">
        <v>41</v>
      </c>
      <c r="C51"/>
      <c r="D51"/>
      <c r="E51"/>
      <c r="F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>
        <v>13.5</v>
      </c>
      <c r="AP51" s="51">
        <v>15.2</v>
      </c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52"/>
      <c r="DK51" s="52"/>
      <c r="DL51" s="52"/>
      <c r="DM51" s="52"/>
      <c r="DN51" s="52"/>
      <c r="DO51" s="52"/>
      <c r="DP51" s="52"/>
      <c r="DQ51" s="52"/>
      <c r="DR51" s="52"/>
      <c r="DS51" s="52"/>
      <c r="DT51" s="52"/>
      <c r="DU51" s="52"/>
      <c r="DV51" s="52"/>
      <c r="DW51" s="49"/>
      <c r="DX51" s="49"/>
      <c r="DY51" s="49"/>
      <c r="DZ51" s="49"/>
      <c r="EA51" s="49"/>
      <c r="EB51" s="49"/>
      <c r="EC51" s="49"/>
      <c r="ED51" s="49"/>
      <c r="EE51" s="49"/>
      <c r="EF51" s="49"/>
      <c r="EG51" s="49"/>
      <c r="EH51" s="49"/>
      <c r="EI51" s="49"/>
      <c r="EJ51" s="49"/>
      <c r="EK51" s="49"/>
      <c r="EL51" s="49"/>
      <c r="EM51" s="49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3"/>
      <c r="FF51" s="49"/>
      <c r="FG51" s="49"/>
      <c r="FH51" s="49"/>
      <c r="FI51" s="49"/>
      <c r="FJ51" s="49"/>
      <c r="FK51" s="49"/>
      <c r="FL51" s="49"/>
    </row>
    <row r="52" spans="1:168" ht="1.5" customHeight="1" x14ac:dyDescent="0.25">
      <c r="A52" s="102"/>
      <c r="B52" t="s">
        <v>70</v>
      </c>
      <c r="C52"/>
      <c r="D52"/>
      <c r="E52"/>
      <c r="F52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>
        <v>25.7</v>
      </c>
      <c r="AU52" s="51">
        <v>36</v>
      </c>
      <c r="AV52" s="51">
        <v>52</v>
      </c>
      <c r="AW52" s="51">
        <v>62</v>
      </c>
      <c r="AX52" s="51">
        <f>BB52/1.34</f>
        <v>68.731343283582078</v>
      </c>
      <c r="AY52" s="51">
        <v>72</v>
      </c>
      <c r="AZ52" s="51">
        <v>152.1</v>
      </c>
      <c r="BA52" s="51">
        <v>87.1</v>
      </c>
      <c r="BB52" s="51">
        <v>92.1</v>
      </c>
      <c r="BC52" s="51">
        <v>82.7</v>
      </c>
      <c r="BD52" s="51">
        <v>101.2</v>
      </c>
      <c r="BE52" s="51">
        <v>109.2</v>
      </c>
      <c r="BF52" s="51">
        <v>103</v>
      </c>
      <c r="BG52" s="51">
        <v>97.5</v>
      </c>
      <c r="BH52" s="51">
        <v>114.6</v>
      </c>
      <c r="BI52" s="51">
        <v>115.8</v>
      </c>
      <c r="BJ52" s="51">
        <v>120.5</v>
      </c>
      <c r="BK52" s="51">
        <v>115.7</v>
      </c>
      <c r="BL52" s="51">
        <v>106.9</v>
      </c>
      <c r="BM52" s="51">
        <v>102.7</v>
      </c>
      <c r="BN52" s="51">
        <v>105.3</v>
      </c>
      <c r="BO52" s="51">
        <v>101.8</v>
      </c>
      <c r="BP52" s="51">
        <v>103.9</v>
      </c>
      <c r="BQ52" s="51">
        <v>106.7</v>
      </c>
      <c r="BR52" s="51">
        <v>110.3</v>
      </c>
      <c r="BS52" s="51">
        <v>0</v>
      </c>
      <c r="BT52" s="51">
        <v>0</v>
      </c>
      <c r="BU52" s="51">
        <v>0</v>
      </c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/>
      <c r="EI52" s="49"/>
      <c r="EJ52" s="49"/>
      <c r="EK52" s="49"/>
      <c r="EL52" s="49"/>
      <c r="EM52" s="49"/>
      <c r="EN52" s="51"/>
      <c r="EO52" s="51"/>
      <c r="EP52" s="51"/>
      <c r="EQ52" s="51"/>
      <c r="ER52" s="51">
        <v>36</v>
      </c>
      <c r="ES52" s="51">
        <v>193</v>
      </c>
      <c r="ET52" s="51">
        <f>ES52*1.75</f>
        <v>337.75</v>
      </c>
      <c r="EU52" s="51">
        <f>SUM(BC52:BF52)</f>
        <v>396.1</v>
      </c>
      <c r="EV52" s="51">
        <f>SUM(BG52:BJ52)</f>
        <v>448.4</v>
      </c>
      <c r="EW52" s="51">
        <f>SUM(BK52:BN52)</f>
        <v>430.6</v>
      </c>
      <c r="EX52" s="51">
        <f>SUM(BO52:BR52)</f>
        <v>422.7</v>
      </c>
      <c r="EY52" s="51">
        <f t="shared" si="105"/>
        <v>0</v>
      </c>
      <c r="EZ52" s="51"/>
      <c r="FA52" s="51"/>
      <c r="FB52" s="51"/>
      <c r="FC52" s="51"/>
      <c r="FD52" s="51"/>
      <c r="FE52" s="53"/>
      <c r="FF52" s="49"/>
      <c r="FG52" s="49"/>
      <c r="FH52" s="49"/>
      <c r="FI52" s="49"/>
      <c r="FJ52" s="49"/>
      <c r="FK52" s="49"/>
      <c r="FL52" s="49"/>
    </row>
    <row r="53" spans="1:168" ht="1.5" customHeight="1" x14ac:dyDescent="0.25">
      <c r="A53" s="102"/>
      <c r="B53" t="s">
        <v>61</v>
      </c>
      <c r="C53" s="49">
        <v>456.7</v>
      </c>
      <c r="D53" s="49">
        <v>513.4</v>
      </c>
      <c r="E53" s="49">
        <v>580.70000000000005</v>
      </c>
      <c r="F53" s="49">
        <f>2100-E53-D53-C53</f>
        <v>549.20000000000005</v>
      </c>
      <c r="G53" s="51">
        <v>579</v>
      </c>
      <c r="H53" s="51">
        <v>537</v>
      </c>
      <c r="I53" s="51">
        <v>637.5</v>
      </c>
      <c r="J53" s="51">
        <f>2400-I53-H53-G53</f>
        <v>646.5</v>
      </c>
      <c r="K53" s="51">
        <v>563.4</v>
      </c>
      <c r="L53" s="51">
        <v>597.6</v>
      </c>
      <c r="M53" s="51">
        <v>705.1</v>
      </c>
      <c r="N53" s="51">
        <f>2560-M53-L53-K53</f>
        <v>693.9000000000002</v>
      </c>
      <c r="O53" s="51">
        <v>618</v>
      </c>
      <c r="P53" s="51">
        <v>666</v>
      </c>
      <c r="Q53" s="51">
        <v>793</v>
      </c>
      <c r="R53" s="51">
        <f>2810-Q53-P53-O53</f>
        <v>733</v>
      </c>
      <c r="S53" s="51">
        <v>589.9</v>
      </c>
      <c r="T53" s="51">
        <v>688.1</v>
      </c>
      <c r="U53" s="51">
        <v>690.2</v>
      </c>
      <c r="V53" s="51">
        <f>2610-U53-T53-S53</f>
        <v>641.79999999999984</v>
      </c>
      <c r="W53" s="51">
        <v>596.20000000000005</v>
      </c>
      <c r="X53" s="51">
        <v>627.4</v>
      </c>
      <c r="Y53" s="51">
        <v>680.2</v>
      </c>
      <c r="Z53" s="51">
        <f>2570-Y53-X53-W53</f>
        <v>666.2</v>
      </c>
      <c r="AA53" s="52">
        <f>1320-AB53</f>
        <v>627.6</v>
      </c>
      <c r="AB53" s="51">
        <v>692.4</v>
      </c>
      <c r="AC53" s="51">
        <v>449.4</v>
      </c>
      <c r="AD53" s="51">
        <f>1990-AC53-AB53-AA53</f>
        <v>220.59999999999991</v>
      </c>
      <c r="AE53" s="51">
        <v>186.1</v>
      </c>
      <c r="AF53" s="51">
        <v>194.9</v>
      </c>
      <c r="AG53" s="51">
        <v>189.9</v>
      </c>
      <c r="AH53" s="51">
        <f>733.7-AG53-AF53-AE53</f>
        <v>162.8000000000001</v>
      </c>
      <c r="AI53" s="51">
        <v>149.9</v>
      </c>
      <c r="AJ53" s="51">
        <v>175</v>
      </c>
      <c r="AK53" s="51">
        <v>154.19999999999999</v>
      </c>
      <c r="AL53" s="51">
        <f>645.1-AK53-AJ53-AI53</f>
        <v>166.00000000000003</v>
      </c>
      <c r="AM53" s="51">
        <v>165</v>
      </c>
      <c r="AN53" s="51">
        <v>129.80000000000001</v>
      </c>
      <c r="AO53" s="51">
        <v>141</v>
      </c>
      <c r="AP53" s="51">
        <v>123.1</v>
      </c>
      <c r="AQ53" s="51">
        <v>112.5</v>
      </c>
      <c r="AR53" s="51">
        <v>114.2</v>
      </c>
      <c r="AS53" s="51">
        <v>102.6</v>
      </c>
      <c r="AT53" s="51">
        <v>114.4</v>
      </c>
      <c r="AU53" s="51"/>
      <c r="AV53" s="51"/>
      <c r="AW53" s="51">
        <v>78</v>
      </c>
      <c r="AX53" s="51"/>
      <c r="AY53" s="51">
        <f>AW53</f>
        <v>78</v>
      </c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>
        <v>1700</v>
      </c>
      <c r="EH53" s="49">
        <v>2100</v>
      </c>
      <c r="EI53" s="49"/>
      <c r="EJ53" s="49"/>
      <c r="EK53" s="49">
        <v>2810</v>
      </c>
      <c r="EL53" s="49">
        <v>2613.4</v>
      </c>
      <c r="EM53" s="49">
        <v>2573.6999999999998</v>
      </c>
      <c r="EN53" s="51">
        <v>1990</v>
      </c>
      <c r="EO53" s="51">
        <v>734</v>
      </c>
      <c r="EP53" s="51">
        <v>645</v>
      </c>
      <c r="EQ53" s="51">
        <v>559</v>
      </c>
      <c r="ER53" s="51">
        <v>454</v>
      </c>
      <c r="ES53" s="51">
        <v>327</v>
      </c>
      <c r="ET53" s="51">
        <f>ES53*0.95</f>
        <v>310.64999999999998</v>
      </c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3"/>
      <c r="FF53" s="49"/>
      <c r="FG53" s="49"/>
      <c r="FH53" s="49"/>
      <c r="FI53" s="49"/>
      <c r="FJ53" s="49"/>
      <c r="FK53" s="49"/>
      <c r="FL53" s="49"/>
    </row>
    <row r="54" spans="1:168" ht="1.5" customHeight="1" x14ac:dyDescent="0.25">
      <c r="A54" s="102"/>
      <c r="B54" t="s">
        <v>63</v>
      </c>
      <c r="C54" s="49">
        <v>150</v>
      </c>
      <c r="D54" s="49">
        <v>115.8</v>
      </c>
      <c r="E54" s="49">
        <v>150</v>
      </c>
      <c r="F54" s="49">
        <f>227.5-E54-D54-C54+494.7</f>
        <v>306.39999999999998</v>
      </c>
      <c r="G54" s="51">
        <v>157</v>
      </c>
      <c r="H54" s="51">
        <v>124</v>
      </c>
      <c r="I54" s="51">
        <v>125</v>
      </c>
      <c r="J54" s="52">
        <f>540-I54-H54-G54</f>
        <v>134</v>
      </c>
      <c r="K54" s="51">
        <v>140.30000000000001</v>
      </c>
      <c r="L54" s="51">
        <v>100</v>
      </c>
      <c r="M54" s="51">
        <v>100</v>
      </c>
      <c r="N54" s="52">
        <f>442.2-K54-L54-M54</f>
        <v>101.89999999999998</v>
      </c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49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>
        <f>227.5+494.7</f>
        <v>722.2</v>
      </c>
      <c r="EI54" s="49"/>
      <c r="EJ54" s="49"/>
      <c r="EK54" s="49"/>
      <c r="EL54" s="49"/>
      <c r="EM54" s="49">
        <v>285.39999999999998</v>
      </c>
      <c r="EN54" s="51"/>
      <c r="EO54" s="51">
        <v>198</v>
      </c>
      <c r="EP54" s="51">
        <v>171</v>
      </c>
      <c r="EQ54" s="51">
        <v>138</v>
      </c>
      <c r="ER54" s="51">
        <v>118</v>
      </c>
      <c r="ES54" s="51">
        <v>90</v>
      </c>
      <c r="ET54" s="51">
        <f>ES54*0.9</f>
        <v>81</v>
      </c>
      <c r="EU54" s="51">
        <f>ET54*0.9</f>
        <v>72.900000000000006</v>
      </c>
      <c r="EV54" s="51"/>
      <c r="EW54" s="51"/>
      <c r="EX54" s="51"/>
      <c r="EY54" s="51"/>
      <c r="EZ54" s="51"/>
      <c r="FA54" s="51"/>
      <c r="FB54" s="51"/>
      <c r="FC54" s="51"/>
      <c r="FD54" s="51"/>
      <c r="FE54" s="53"/>
      <c r="FF54" s="49"/>
      <c r="FG54" s="49"/>
      <c r="FH54" s="49"/>
      <c r="FI54" s="49"/>
      <c r="FJ54" s="49"/>
      <c r="FK54" s="49"/>
      <c r="FL54" s="49"/>
    </row>
    <row r="55" spans="1:168" ht="1.5" customHeight="1" x14ac:dyDescent="0.25">
      <c r="A55" s="102"/>
      <c r="B55" t="s">
        <v>64</v>
      </c>
      <c r="C55">
        <v>30</v>
      </c>
      <c r="D55">
        <v>35</v>
      </c>
      <c r="E55">
        <v>40</v>
      </c>
      <c r="F55">
        <f>169-E55-D55-C55</f>
        <v>64</v>
      </c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>
        <v>169</v>
      </c>
      <c r="EI55" s="49"/>
      <c r="EJ55" s="49"/>
      <c r="EK55" s="49"/>
      <c r="EL55" s="49"/>
      <c r="EM55" s="49"/>
      <c r="EN55" s="51"/>
      <c r="EO55" s="51">
        <v>38</v>
      </c>
      <c r="EP55" s="51">
        <v>32</v>
      </c>
      <c r="EQ55" s="51">
        <v>55</v>
      </c>
      <c r="ER55" s="51">
        <v>28</v>
      </c>
      <c r="ES55" s="51">
        <v>17</v>
      </c>
      <c r="ET55" s="51">
        <v>16</v>
      </c>
      <c r="EU55" s="51">
        <v>16</v>
      </c>
      <c r="EV55" s="51"/>
      <c r="EW55" s="51"/>
      <c r="EX55" s="51"/>
      <c r="EY55" s="51"/>
      <c r="EZ55" s="51"/>
      <c r="FA55" s="51"/>
      <c r="FB55" s="51"/>
      <c r="FC55" s="51"/>
      <c r="FD55" s="51"/>
      <c r="FE55" s="53"/>
      <c r="FF55" s="49"/>
      <c r="FG55" s="49"/>
      <c r="FH55" s="49"/>
      <c r="FI55" s="49"/>
      <c r="FJ55" s="49"/>
      <c r="FK55" s="49"/>
      <c r="FL55" s="49"/>
    </row>
    <row r="56" spans="1:168" ht="1.5" customHeight="1" x14ac:dyDescent="0.25">
      <c r="A56" s="102"/>
      <c r="B56" s="38" t="s">
        <v>758</v>
      </c>
      <c r="C56">
        <v>120</v>
      </c>
      <c r="D56">
        <v>130</v>
      </c>
      <c r="E56">
        <v>140</v>
      </c>
      <c r="F56">
        <f>548-E56-D56-C56</f>
        <v>158</v>
      </c>
      <c r="G56" s="51">
        <v>150</v>
      </c>
      <c r="H56" s="51">
        <v>118</v>
      </c>
      <c r="I56" s="51">
        <v>126.9</v>
      </c>
      <c r="J56" s="51">
        <f>531-I56-H56-G56</f>
        <v>136.10000000000002</v>
      </c>
      <c r="K56" s="51">
        <v>163.6</v>
      </c>
      <c r="L56" s="51">
        <v>119.4</v>
      </c>
      <c r="M56" s="51">
        <v>132.19999999999999</v>
      </c>
      <c r="N56" s="51">
        <f>526.5-M56-L56-K56</f>
        <v>111.29999999999998</v>
      </c>
      <c r="O56" s="51">
        <f>319-P56-Q56</f>
        <v>145</v>
      </c>
      <c r="P56" s="51">
        <v>77</v>
      </c>
      <c r="Q56" s="51">
        <v>97</v>
      </c>
      <c r="R56" s="51">
        <f>418-Q56-P56-O56</f>
        <v>99</v>
      </c>
      <c r="S56" s="51">
        <v>111.5</v>
      </c>
      <c r="T56" s="51">
        <v>81.3</v>
      </c>
      <c r="U56" s="51">
        <v>82</v>
      </c>
      <c r="V56" s="51">
        <f>418-U56-T56-S56</f>
        <v>143.19999999999999</v>
      </c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>
        <v>548</v>
      </c>
      <c r="EI56" s="49"/>
      <c r="EJ56" s="49"/>
      <c r="EK56" s="49">
        <v>418</v>
      </c>
      <c r="EL56" s="49">
        <v>354.7</v>
      </c>
      <c r="EM56" s="49">
        <v>321.39999999999998</v>
      </c>
      <c r="EN56" s="51"/>
      <c r="EO56" s="51"/>
      <c r="EP56" s="51"/>
      <c r="EQ56" s="51"/>
      <c r="ER56" s="51"/>
      <c r="ES56" s="51"/>
      <c r="ET56" s="51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3"/>
      <c r="FF56" s="49"/>
      <c r="FG56" s="49"/>
      <c r="FH56" s="49"/>
      <c r="FI56" s="49"/>
      <c r="FJ56" s="49"/>
      <c r="FK56" s="49"/>
      <c r="FL56" s="49"/>
    </row>
    <row r="57" spans="1:168" ht="1.5" customHeight="1" x14ac:dyDescent="0.25">
      <c r="A57" s="102"/>
      <c r="B57" t="s">
        <v>65</v>
      </c>
      <c r="C57"/>
      <c r="D57"/>
      <c r="E57"/>
      <c r="F57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51"/>
      <c r="EO57" s="51">
        <v>75</v>
      </c>
      <c r="EP57" s="51">
        <v>52</v>
      </c>
      <c r="EQ57" s="51">
        <v>46</v>
      </c>
      <c r="ER57" s="51">
        <v>34</v>
      </c>
      <c r="ES57" s="51">
        <v>32</v>
      </c>
      <c r="ET57" s="51">
        <f>ES57*0.8</f>
        <v>25.6</v>
      </c>
      <c r="EU57" s="51">
        <f>ET57*0.8</f>
        <v>20.480000000000004</v>
      </c>
      <c r="EV57" s="51"/>
      <c r="EW57" s="51"/>
      <c r="EX57" s="51"/>
      <c r="EY57" s="51"/>
      <c r="EZ57" s="51"/>
      <c r="FA57" s="51"/>
      <c r="FB57" s="51"/>
      <c r="FC57" s="51"/>
      <c r="FD57" s="51"/>
      <c r="FE57" s="53"/>
      <c r="FF57" s="49"/>
      <c r="FG57" s="49"/>
      <c r="FH57" s="49"/>
      <c r="FI57" s="49"/>
      <c r="FJ57" s="49"/>
      <c r="FK57" s="49"/>
      <c r="FL57" s="49"/>
    </row>
    <row r="58" spans="1:168" ht="1.5" customHeight="1" x14ac:dyDescent="0.25">
      <c r="A58" s="102"/>
      <c r="B58" t="s">
        <v>66</v>
      </c>
      <c r="C58"/>
      <c r="D58"/>
      <c r="E58"/>
      <c r="F58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>
        <v>25</v>
      </c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>
        <v>205</v>
      </c>
      <c r="EN58" s="51"/>
      <c r="EO58" s="51">
        <v>145</v>
      </c>
      <c r="EP58" s="51">
        <v>173</v>
      </c>
      <c r="EQ58" s="51">
        <v>198</v>
      </c>
      <c r="ER58" s="51">
        <v>240</v>
      </c>
      <c r="ES58" s="51">
        <v>154</v>
      </c>
      <c r="ET58" s="51">
        <v>136</v>
      </c>
      <c r="EU58" s="51">
        <v>143</v>
      </c>
      <c r="EV58" s="51"/>
      <c r="EW58" s="51"/>
      <c r="EX58" s="51"/>
      <c r="EY58" s="51"/>
      <c r="EZ58" s="51"/>
      <c r="FA58" s="51"/>
      <c r="FB58" s="51"/>
      <c r="FC58" s="51"/>
      <c r="FD58" s="51"/>
      <c r="FE58" s="53"/>
      <c r="FF58" s="49"/>
      <c r="FG58" s="49"/>
      <c r="FH58" s="49"/>
      <c r="FI58" s="49"/>
      <c r="FJ58" s="49"/>
      <c r="FK58" s="49"/>
      <c r="FL58" s="49"/>
    </row>
    <row r="59" spans="1:168" ht="1.5" customHeight="1" x14ac:dyDescent="0.25">
      <c r="A59" s="102"/>
      <c r="B59" t="s">
        <v>67</v>
      </c>
      <c r="C59"/>
      <c r="D59"/>
      <c r="E59"/>
      <c r="F59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/>
      <c r="EM59" s="49"/>
      <c r="EN59" s="51"/>
      <c r="EO59" s="51">
        <v>122</v>
      </c>
      <c r="EP59" s="51">
        <v>63</v>
      </c>
      <c r="EQ59" s="51">
        <v>44</v>
      </c>
      <c r="ER59" s="51">
        <v>25</v>
      </c>
      <c r="ES59" s="51">
        <v>31</v>
      </c>
      <c r="ET59" s="51">
        <f>ES59*0.9</f>
        <v>27.900000000000002</v>
      </c>
      <c r="EU59" s="51">
        <f>ET59*0.9</f>
        <v>25.110000000000003</v>
      </c>
      <c r="EV59" s="51">
        <f>EU59*0.9</f>
        <v>22.599000000000004</v>
      </c>
      <c r="EW59" s="51"/>
      <c r="EX59" s="51"/>
      <c r="EY59" s="51"/>
      <c r="EZ59" s="51"/>
      <c r="FA59" s="51"/>
      <c r="FB59" s="51"/>
      <c r="FC59" s="51"/>
      <c r="FD59" s="51"/>
      <c r="FE59" s="53"/>
      <c r="FF59" s="49"/>
      <c r="FG59" s="49"/>
      <c r="FH59" s="49"/>
      <c r="FI59" s="49"/>
      <c r="FJ59" s="49"/>
      <c r="FK59" s="49"/>
      <c r="FL59" s="49"/>
    </row>
    <row r="60" spans="1:168" ht="1.5" customHeight="1" x14ac:dyDescent="0.25">
      <c r="A60" s="102"/>
      <c r="B60" t="s">
        <v>71</v>
      </c>
      <c r="C60"/>
      <c r="D60"/>
      <c r="E60"/>
      <c r="F60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51"/>
      <c r="EO60" s="51">
        <v>46</v>
      </c>
      <c r="EP60" s="51">
        <v>43</v>
      </c>
      <c r="EQ60" s="51">
        <v>34</v>
      </c>
      <c r="ER60" s="51">
        <v>52</v>
      </c>
      <c r="ES60" s="51">
        <v>34</v>
      </c>
      <c r="ET60" s="51">
        <v>34</v>
      </c>
      <c r="EU60" s="51">
        <v>35</v>
      </c>
      <c r="EV60" s="51"/>
      <c r="EW60" s="51"/>
      <c r="EX60" s="51"/>
      <c r="EY60" s="51"/>
      <c r="EZ60" s="51"/>
      <c r="FA60" s="51"/>
      <c r="FB60" s="51"/>
      <c r="FC60" s="51"/>
      <c r="FD60" s="51"/>
      <c r="FE60" s="53"/>
      <c r="FF60" s="49"/>
      <c r="FG60" s="49"/>
      <c r="FH60" s="49"/>
      <c r="FI60" s="49"/>
      <c r="FJ60" s="49"/>
      <c r="FK60" s="49"/>
      <c r="FL60" s="49"/>
    </row>
    <row r="61" spans="1:168" ht="1.5" customHeight="1" x14ac:dyDescent="0.25">
      <c r="A61" s="102"/>
      <c r="B61" t="s">
        <v>72</v>
      </c>
      <c r="C61"/>
      <c r="D61"/>
      <c r="E61"/>
      <c r="F61"/>
      <c r="G61" s="51">
        <v>20</v>
      </c>
      <c r="H61" s="51">
        <v>37</v>
      </c>
      <c r="I61" s="51">
        <v>38.5</v>
      </c>
      <c r="J61" s="51">
        <f>149-I61-H61-G61</f>
        <v>53.5</v>
      </c>
      <c r="K61" s="51">
        <v>51.7</v>
      </c>
      <c r="L61" s="51">
        <v>59.8</v>
      </c>
      <c r="M61" s="51">
        <v>63.3</v>
      </c>
      <c r="N61" s="51">
        <f>254.4-M61-L61-K61</f>
        <v>79.600000000000009</v>
      </c>
      <c r="O61" s="51">
        <v>70</v>
      </c>
      <c r="P61" s="51">
        <v>101</v>
      </c>
      <c r="Q61" s="51">
        <v>87</v>
      </c>
      <c r="R61" s="51">
        <f>365.4-Q61-P61-O61</f>
        <v>107.39999999999998</v>
      </c>
      <c r="S61" s="51">
        <v>101</v>
      </c>
      <c r="T61" s="51">
        <v>114.2</v>
      </c>
      <c r="U61" s="51">
        <v>107.3</v>
      </c>
      <c r="V61" s="51">
        <f>447.3-U61-T61-S61</f>
        <v>124.80000000000001</v>
      </c>
      <c r="W61" s="51">
        <v>110.3</v>
      </c>
      <c r="X61" s="51">
        <v>104.5</v>
      </c>
      <c r="Y61" s="51">
        <v>97.7</v>
      </c>
      <c r="Z61" s="51">
        <f>418.1-Y61-X61-W61</f>
        <v>105.60000000000004</v>
      </c>
      <c r="AA61" s="51">
        <v>110.7</v>
      </c>
      <c r="AB61" s="51">
        <v>110.1</v>
      </c>
      <c r="AC61" s="51">
        <v>105.1</v>
      </c>
      <c r="AD61" s="51">
        <f>431.4-AC61-AB61-AA61</f>
        <v>105.49999999999996</v>
      </c>
      <c r="AE61" s="51">
        <v>91.7</v>
      </c>
      <c r="AF61" s="51">
        <v>101</v>
      </c>
      <c r="AG61" s="51">
        <v>92.4</v>
      </c>
      <c r="AH61" s="51">
        <f>384-AG61-AF61-AE61</f>
        <v>98.90000000000002</v>
      </c>
      <c r="AI61" s="51">
        <v>93.1</v>
      </c>
      <c r="AJ61" s="51">
        <v>94.5</v>
      </c>
      <c r="AK61" s="51">
        <v>88.2</v>
      </c>
      <c r="AL61" s="51">
        <f>364.4-AK61-AJ61-AI61</f>
        <v>88.6</v>
      </c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>
        <v>67</v>
      </c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>
        <v>365.4</v>
      </c>
      <c r="EL61" s="49">
        <v>447.3</v>
      </c>
      <c r="EM61" s="49">
        <v>418.1</v>
      </c>
      <c r="EN61" s="51">
        <v>431.4</v>
      </c>
      <c r="EO61" s="51">
        <v>384</v>
      </c>
      <c r="EP61" s="51">
        <v>364</v>
      </c>
      <c r="EQ61" s="51">
        <v>363</v>
      </c>
      <c r="ER61" s="51">
        <v>297</v>
      </c>
      <c r="ES61" s="51">
        <v>296</v>
      </c>
      <c r="ET61" s="51">
        <f>ES61*0.95</f>
        <v>281.2</v>
      </c>
      <c r="EU61" s="51">
        <f>ET61*0.95</f>
        <v>267.14</v>
      </c>
      <c r="EV61" s="51">
        <f>EU61*0.95</f>
        <v>253.78299999999999</v>
      </c>
      <c r="EW61" s="51"/>
      <c r="EX61" s="51"/>
      <c r="EY61" s="51"/>
      <c r="EZ61" s="51"/>
      <c r="FA61" s="51"/>
      <c r="FB61" s="51"/>
      <c r="FC61" s="51"/>
      <c r="FD61" s="51"/>
      <c r="FE61" s="53"/>
      <c r="FF61" s="49"/>
      <c r="FG61" s="49"/>
      <c r="FH61" s="49"/>
      <c r="FI61" s="49"/>
      <c r="FJ61" s="49"/>
      <c r="FK61" s="49"/>
      <c r="FL61" s="49"/>
    </row>
    <row r="62" spans="1:168" ht="1.5" customHeight="1" x14ac:dyDescent="0.25">
      <c r="A62" s="102"/>
      <c r="B62" t="s">
        <v>73</v>
      </c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9"/>
      <c r="EL62" s="49"/>
      <c r="EM62" s="49"/>
      <c r="EN62" s="51"/>
      <c r="EO62" s="51">
        <v>60</v>
      </c>
      <c r="EP62" s="51">
        <v>70</v>
      </c>
      <c r="EQ62" s="51">
        <v>42</v>
      </c>
      <c r="ER62" s="51">
        <v>34</v>
      </c>
      <c r="ES62" s="51">
        <v>23</v>
      </c>
      <c r="ET62" s="51">
        <v>22</v>
      </c>
      <c r="EU62" s="51">
        <v>22</v>
      </c>
      <c r="EV62" s="51">
        <v>22</v>
      </c>
      <c r="EW62" s="51"/>
      <c r="EX62" s="51"/>
      <c r="EY62" s="51"/>
      <c r="EZ62" s="51"/>
      <c r="FA62" s="51"/>
      <c r="FB62" s="51"/>
      <c r="FC62" s="51"/>
      <c r="FD62" s="51"/>
      <c r="FE62" s="53"/>
      <c r="FF62" s="49"/>
      <c r="FG62" s="49"/>
      <c r="FH62" s="49"/>
      <c r="FI62" s="49"/>
      <c r="FJ62" s="49"/>
      <c r="FK62" s="49"/>
      <c r="FL62" s="49"/>
    </row>
    <row r="63" spans="1:168" ht="1.5" customHeight="1" x14ac:dyDescent="0.25">
      <c r="A63" s="102"/>
      <c r="B63" t="s">
        <v>68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>
        <v>133.19999999999999</v>
      </c>
      <c r="AJ63" s="51">
        <v>116.3</v>
      </c>
      <c r="AK63" s="51">
        <v>67.099999999999994</v>
      </c>
      <c r="AL63" s="51">
        <f>431.2-AK63-AJ63-AI63</f>
        <v>114.60000000000002</v>
      </c>
      <c r="AM63" s="51">
        <v>153.30000000000001</v>
      </c>
      <c r="AN63" s="51">
        <v>112.4</v>
      </c>
      <c r="AO63" s="51">
        <v>58.3</v>
      </c>
      <c r="AP63" s="51">
        <v>128.9</v>
      </c>
      <c r="AQ63" s="51">
        <v>168.7</v>
      </c>
      <c r="AR63" s="51">
        <v>105</v>
      </c>
      <c r="AS63" s="51">
        <f>AW63/1.2</f>
        <v>64.166666666666671</v>
      </c>
      <c r="AT63" s="51">
        <v>155</v>
      </c>
      <c r="AU63" s="51">
        <v>189</v>
      </c>
      <c r="AV63" s="51">
        <v>93</v>
      </c>
      <c r="AW63" s="51">
        <v>77</v>
      </c>
      <c r="AX63" s="51">
        <f>BB63/1.04</f>
        <v>89.615384615384613</v>
      </c>
      <c r="AY63" s="51"/>
      <c r="AZ63" s="51"/>
      <c r="BA63" s="51">
        <v>97.8</v>
      </c>
      <c r="BB63" s="51">
        <v>93.2</v>
      </c>
      <c r="BC63" s="51">
        <v>84.1</v>
      </c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49"/>
      <c r="DX63" s="49"/>
      <c r="DY63" s="49"/>
      <c r="DZ63" s="49"/>
      <c r="EA63" s="49"/>
      <c r="EB63" s="49"/>
      <c r="EC63" s="49"/>
      <c r="ED63" s="49"/>
      <c r="EE63" s="49"/>
      <c r="EF63" s="49"/>
      <c r="EG63" s="49"/>
      <c r="EH63" s="49"/>
      <c r="EI63" s="49"/>
      <c r="EJ63" s="49"/>
      <c r="EK63" s="49"/>
      <c r="EL63" s="49">
        <v>37.9</v>
      </c>
      <c r="EM63" s="49">
        <v>223</v>
      </c>
      <c r="EN63" s="51"/>
      <c r="EO63" s="51">
        <v>392</v>
      </c>
      <c r="EP63" s="51">
        <v>430</v>
      </c>
      <c r="EQ63" s="51">
        <v>453</v>
      </c>
      <c r="ER63" s="51">
        <v>493</v>
      </c>
      <c r="ES63" s="51">
        <v>428</v>
      </c>
      <c r="ET63" s="51">
        <f>SUM(AY63:BB63)</f>
        <v>191</v>
      </c>
      <c r="EU63" s="51">
        <f>SUM(BC63:BF63)</f>
        <v>84.1</v>
      </c>
      <c r="EV63" s="51"/>
      <c r="EW63" s="51"/>
      <c r="EX63" s="51"/>
      <c r="EY63" s="51"/>
      <c r="EZ63" s="51"/>
      <c r="FA63" s="51"/>
      <c r="FB63" s="51"/>
      <c r="FC63" s="51"/>
      <c r="FD63" s="51"/>
      <c r="FE63" s="53"/>
      <c r="FF63" s="49"/>
      <c r="FG63" s="49"/>
      <c r="FH63" s="49"/>
      <c r="FI63" s="49"/>
      <c r="FJ63" s="49"/>
      <c r="FK63" s="49"/>
      <c r="FL63" s="49"/>
    </row>
    <row r="64" spans="1:168" ht="1.5" customHeight="1" x14ac:dyDescent="0.25">
      <c r="A64" s="102"/>
      <c r="B64" t="s">
        <v>74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>
        <v>22</v>
      </c>
      <c r="AF64" s="51">
        <v>22.6</v>
      </c>
      <c r="AG64" s="51">
        <v>21.2</v>
      </c>
      <c r="AH64" s="51">
        <f>100.2-AG64-AF64-AE64</f>
        <v>34.4</v>
      </c>
      <c r="AI64" s="51">
        <v>35.9</v>
      </c>
      <c r="AJ64" s="51">
        <v>36.1</v>
      </c>
      <c r="AK64" s="51">
        <v>37.799999999999997</v>
      </c>
      <c r="AL64" s="51">
        <f>160.4-AK64-AJ64-AI64</f>
        <v>50.6</v>
      </c>
      <c r="AM64" s="51"/>
      <c r="AN64" s="51"/>
      <c r="AO64" s="51"/>
      <c r="AP64" s="51">
        <v>55.3</v>
      </c>
      <c r="AQ64" s="51">
        <v>59.5</v>
      </c>
      <c r="AR64" s="51"/>
      <c r="AS64" s="51">
        <v>45.5</v>
      </c>
      <c r="AT64" s="51">
        <v>51.8</v>
      </c>
      <c r="AU64" s="51">
        <v>50</v>
      </c>
      <c r="AV64" s="51">
        <v>48</v>
      </c>
      <c r="AW64" s="51">
        <v>42</v>
      </c>
      <c r="AX64" s="51"/>
      <c r="AY64" s="51">
        <v>40</v>
      </c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49"/>
      <c r="DX64" s="98"/>
      <c r="DY64" s="98"/>
      <c r="DZ64" s="98"/>
      <c r="EA64" s="98"/>
      <c r="EB64" s="98"/>
      <c r="EC64" s="98"/>
      <c r="ED64" s="98"/>
      <c r="EE64" s="98"/>
      <c r="EF64" s="98"/>
      <c r="EG64" s="98"/>
      <c r="EH64" s="98"/>
      <c r="EI64" s="98"/>
      <c r="EJ64" s="98"/>
      <c r="EK64" s="98"/>
      <c r="EL64" s="98"/>
      <c r="EM64" s="98"/>
      <c r="EN64" s="51">
        <v>21.2</v>
      </c>
      <c r="EO64" s="51">
        <v>98</v>
      </c>
      <c r="EP64" s="51">
        <v>161</v>
      </c>
      <c r="EQ64" s="51">
        <v>202</v>
      </c>
      <c r="ER64" s="51">
        <v>215</v>
      </c>
      <c r="ES64" s="51">
        <v>212</v>
      </c>
      <c r="ET64" s="51">
        <f>ES64*0.8</f>
        <v>169.60000000000002</v>
      </c>
      <c r="EU64" s="51">
        <f>ET64*0.8</f>
        <v>135.68000000000004</v>
      </c>
      <c r="EV64" s="51">
        <f>EU64*0.8</f>
        <v>108.54400000000004</v>
      </c>
      <c r="EW64" s="51"/>
      <c r="EX64" s="51"/>
      <c r="EY64" s="51"/>
      <c r="EZ64" s="51"/>
      <c r="FA64" s="51"/>
      <c r="FB64" s="51"/>
      <c r="FC64" s="51"/>
      <c r="FD64" s="51"/>
      <c r="FE64" s="53"/>
      <c r="FF64" s="49"/>
      <c r="FG64" s="49"/>
      <c r="FH64" s="49"/>
      <c r="FI64" s="49"/>
      <c r="FJ64" s="49"/>
      <c r="FK64" s="49"/>
      <c r="FL64" s="49"/>
    </row>
    <row r="65" spans="1:178" ht="1.5" customHeight="1" x14ac:dyDescent="0.25">
      <c r="A65" s="102"/>
      <c r="B65" t="s">
        <v>17</v>
      </c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51">
        <v>33</v>
      </c>
      <c r="P65" s="51">
        <v>15</v>
      </c>
      <c r="Q65" s="51">
        <v>33</v>
      </c>
      <c r="R65" s="51">
        <f>144.1-Q65-P65-O65</f>
        <v>63.099999999999994</v>
      </c>
      <c r="S65" s="51">
        <v>54.6</v>
      </c>
      <c r="T65" s="51">
        <v>66.599999999999994</v>
      </c>
      <c r="U65" s="51">
        <v>92.8</v>
      </c>
      <c r="V65" s="51">
        <f>326.1-U65-T65-S65</f>
        <v>112.10000000000002</v>
      </c>
      <c r="W65" s="51">
        <v>100.5</v>
      </c>
      <c r="X65" s="51">
        <v>133.69999999999999</v>
      </c>
      <c r="Y65" s="51">
        <v>141.5</v>
      </c>
      <c r="Z65" s="51">
        <f>521.5-Y65-X65-W65</f>
        <v>145.80000000000001</v>
      </c>
      <c r="AA65" s="51">
        <v>149</v>
      </c>
      <c r="AB65" s="51">
        <v>167</v>
      </c>
      <c r="AC65" s="51">
        <v>183.1</v>
      </c>
      <c r="AD65" s="51">
        <f>664.8-AC65-AB65-AA65</f>
        <v>165.69999999999993</v>
      </c>
      <c r="AE65" s="51">
        <v>177.9</v>
      </c>
      <c r="AF65" s="51">
        <v>188.2</v>
      </c>
      <c r="AG65" s="51">
        <v>217.4</v>
      </c>
      <c r="AH65" s="51">
        <f>821.9-AG65-AF65-AE65</f>
        <v>238.4</v>
      </c>
      <c r="AI65" s="51">
        <v>214</v>
      </c>
      <c r="AJ65" s="51">
        <v>223.5</v>
      </c>
      <c r="AK65" s="51">
        <v>240</v>
      </c>
      <c r="AL65" s="51">
        <v>244.6</v>
      </c>
      <c r="AM65" s="51">
        <v>232.8</v>
      </c>
      <c r="AN65" s="51">
        <v>276.60000000000002</v>
      </c>
      <c r="AO65" s="51">
        <v>246.1</v>
      </c>
      <c r="AP65" s="51">
        <v>257.3</v>
      </c>
      <c r="AQ65" s="51">
        <v>248.9</v>
      </c>
      <c r="AR65" s="51">
        <v>261.60000000000002</v>
      </c>
      <c r="AS65" s="51">
        <v>260.3</v>
      </c>
      <c r="AT65" s="51">
        <v>265.3</v>
      </c>
      <c r="AU65" s="51">
        <v>242</v>
      </c>
      <c r="AV65" s="51">
        <v>276</v>
      </c>
      <c r="AW65" s="51">
        <v>258</v>
      </c>
      <c r="AX65" s="51">
        <v>270.3</v>
      </c>
      <c r="AY65" s="51">
        <v>263.8</v>
      </c>
      <c r="AZ65" s="51">
        <v>278</v>
      </c>
      <c r="BA65" s="51">
        <v>263.2</v>
      </c>
      <c r="BB65" s="51">
        <v>285.8</v>
      </c>
      <c r="BC65" s="51">
        <v>261.10000000000002</v>
      </c>
      <c r="BD65" s="51">
        <v>279.8</v>
      </c>
      <c r="BE65" s="51">
        <v>265.7</v>
      </c>
      <c r="BF65" s="51">
        <v>269</v>
      </c>
      <c r="BG65" s="51">
        <v>256.89999999999998</v>
      </c>
      <c r="BH65" s="51">
        <v>251.3</v>
      </c>
      <c r="BI65" s="51">
        <v>259.5</v>
      </c>
      <c r="BJ65" s="51">
        <v>262.7</v>
      </c>
      <c r="BK65" s="51">
        <v>241.6</v>
      </c>
      <c r="BL65" s="51">
        <v>259.5</v>
      </c>
      <c r="BM65" s="51">
        <v>256.8</v>
      </c>
      <c r="BN65" s="51">
        <v>266.5</v>
      </c>
      <c r="BO65" s="51">
        <v>266.10000000000002</v>
      </c>
      <c r="BP65" s="51">
        <v>263.5</v>
      </c>
      <c r="BQ65" s="51">
        <v>270.10000000000002</v>
      </c>
      <c r="BR65" s="51">
        <v>267.10000000000002</v>
      </c>
      <c r="BS65" s="51">
        <v>256.2</v>
      </c>
      <c r="BT65" s="51">
        <v>265.89999999999998</v>
      </c>
      <c r="BU65" s="51">
        <v>247</v>
      </c>
      <c r="BV65" s="51">
        <v>241</v>
      </c>
      <c r="BW65" s="51">
        <v>240.6</v>
      </c>
      <c r="BX65" s="51">
        <v>278.7</v>
      </c>
      <c r="BY65" s="51">
        <v>255.3</v>
      </c>
      <c r="BZ65" s="51">
        <v>275.89999999999998</v>
      </c>
      <c r="CA65" s="51">
        <v>150.1</v>
      </c>
      <c r="CB65" s="51">
        <v>108.3</v>
      </c>
      <c r="CC65" s="51">
        <v>89.5</v>
      </c>
      <c r="CD65" s="51">
        <v>72.099999999999994</v>
      </c>
      <c r="CE65" s="51">
        <v>66.8</v>
      </c>
      <c r="CF65" s="51">
        <v>59.7</v>
      </c>
      <c r="CG65" s="51">
        <v>58</v>
      </c>
      <c r="CH65" s="51">
        <v>52.8</v>
      </c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49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/>
      <c r="EK65" s="49">
        <v>144.1</v>
      </c>
      <c r="EL65" s="49">
        <v>326.10000000000002</v>
      </c>
      <c r="EM65" s="49">
        <v>521.5</v>
      </c>
      <c r="EN65" s="51">
        <v>664.8</v>
      </c>
      <c r="EO65" s="51">
        <v>822</v>
      </c>
      <c r="EP65" s="51">
        <v>922</v>
      </c>
      <c r="EQ65" s="51">
        <v>1013</v>
      </c>
      <c r="ER65" s="51">
        <v>1036</v>
      </c>
      <c r="ES65" s="51">
        <f>SUM(AU65:AX65)</f>
        <v>1046.3</v>
      </c>
      <c r="ET65" s="51">
        <f>SUM(AY65:BB65)</f>
        <v>1090.8</v>
      </c>
      <c r="EU65" s="51">
        <f>SUM(BC65:BF65)</f>
        <v>1075.6000000000001</v>
      </c>
      <c r="EV65" s="51">
        <f>SUM(BG65:BJ65)</f>
        <v>1030.4000000000001</v>
      </c>
      <c r="EW65" s="51">
        <f>SUM(BK65:BN65)</f>
        <v>1024.4000000000001</v>
      </c>
      <c r="EX65" s="51">
        <f>SUM(BO65:BR65)</f>
        <v>1066.8000000000002</v>
      </c>
      <c r="EY65" s="51">
        <f>SUM(BS65:BV65)</f>
        <v>1010.0999999999999</v>
      </c>
      <c r="EZ65" s="51">
        <v>1050.4000000000001</v>
      </c>
      <c r="FA65" s="51">
        <v>419.8</v>
      </c>
      <c r="FB65" s="51">
        <v>237.3</v>
      </c>
      <c r="FC65" s="51"/>
      <c r="FD65" s="51"/>
      <c r="FE65" s="51"/>
      <c r="FF65" s="49"/>
      <c r="FG65" s="49"/>
      <c r="FH65" s="49"/>
      <c r="FI65" s="49"/>
      <c r="FJ65" s="49"/>
      <c r="FK65" s="49"/>
      <c r="FL65" s="49"/>
    </row>
    <row r="66" spans="1:178" x14ac:dyDescent="0.25">
      <c r="A66" s="102"/>
      <c r="B66" s="38" t="s">
        <v>238</v>
      </c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49"/>
      <c r="DX66" s="49"/>
      <c r="DY66" s="49"/>
      <c r="DZ66" s="49"/>
      <c r="EA66" s="49"/>
      <c r="EB66" s="49"/>
      <c r="EC66" s="49"/>
      <c r="ED66" s="49"/>
      <c r="EE66" s="49"/>
      <c r="EF66" s="49"/>
      <c r="EG66" s="49"/>
      <c r="EH66" s="49"/>
      <c r="EI66" s="49"/>
      <c r="EJ66" s="49"/>
      <c r="EK66" s="49"/>
      <c r="EL66" s="49"/>
      <c r="EM66" s="49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Y66" s="51"/>
      <c r="EZ66" s="51"/>
      <c r="FA66" s="51"/>
      <c r="FB66" s="51"/>
      <c r="FC66" s="51"/>
      <c r="FD66" s="51"/>
      <c r="FE66" s="53"/>
      <c r="FF66" s="49"/>
      <c r="FG66" s="49"/>
      <c r="FH66" s="49"/>
      <c r="FI66" s="49"/>
      <c r="FJ66" s="49"/>
      <c r="FK66" s="49"/>
      <c r="FL66" s="49"/>
    </row>
    <row r="67" spans="1:178" s="38" customFormat="1" x14ac:dyDescent="0.25">
      <c r="A67" s="106"/>
      <c r="B67" s="38" t="s">
        <v>275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  <c r="CD67" s="52"/>
      <c r="CE67" s="52"/>
      <c r="CF67" s="52"/>
      <c r="CG67" s="52"/>
      <c r="CH67" s="52"/>
      <c r="CI67" s="52"/>
      <c r="CJ67" s="52"/>
      <c r="CK67" s="52"/>
      <c r="CL67" s="52"/>
      <c r="CM67" s="52"/>
      <c r="CN67" s="52"/>
      <c r="CO67" s="52"/>
      <c r="CP67" s="52"/>
      <c r="CQ67" s="52"/>
      <c r="CR67" s="52"/>
      <c r="CS67" s="52"/>
      <c r="CT67" s="52"/>
      <c r="CU67" s="52"/>
      <c r="CV67" s="52"/>
      <c r="CW67" s="52"/>
      <c r="CX67" s="52"/>
      <c r="CY67" s="52"/>
      <c r="CZ67" s="52"/>
      <c r="DA67" s="52"/>
      <c r="DB67" s="52"/>
      <c r="DC67" s="52"/>
      <c r="DD67" s="52"/>
      <c r="DE67" s="52"/>
      <c r="DF67" s="52"/>
      <c r="DG67" s="52"/>
      <c r="DH67" s="52"/>
      <c r="DI67" s="52"/>
      <c r="DJ67" s="52"/>
      <c r="DK67" s="52"/>
      <c r="DL67" s="52"/>
      <c r="DM67" s="52"/>
      <c r="DN67" s="52"/>
      <c r="DO67" s="52"/>
      <c r="DP67" s="52"/>
      <c r="DQ67" s="52"/>
      <c r="DR67" s="52"/>
      <c r="DS67" s="52"/>
      <c r="DT67" s="52"/>
      <c r="DU67" s="52"/>
      <c r="DV67" s="52"/>
      <c r="DW67" s="50"/>
      <c r="DX67" s="50"/>
      <c r="DY67" s="50"/>
      <c r="DZ67" s="50"/>
      <c r="EA67" s="50"/>
      <c r="EB67" s="50"/>
      <c r="EC67" s="50"/>
      <c r="ED67" s="50"/>
      <c r="EE67" s="50"/>
      <c r="EF67" s="50"/>
      <c r="EG67" s="50"/>
      <c r="EH67" s="50"/>
      <c r="EI67" s="50"/>
      <c r="EJ67" s="50"/>
      <c r="EK67" s="50"/>
      <c r="EL67" s="50"/>
      <c r="EM67" s="50"/>
      <c r="EN67" s="52"/>
      <c r="EO67" s="52"/>
      <c r="EP67" s="52"/>
      <c r="EQ67" s="52"/>
      <c r="ER67" s="52"/>
      <c r="ES67" s="52"/>
      <c r="ET67" s="52"/>
      <c r="EU67" s="52"/>
      <c r="EV67" s="52"/>
      <c r="EW67" s="52"/>
      <c r="EX67" s="52"/>
      <c r="EY67" s="52"/>
      <c r="EZ67" s="52"/>
      <c r="FA67" s="52"/>
      <c r="FB67" s="52"/>
      <c r="FC67" s="52"/>
      <c r="FD67" s="52"/>
      <c r="FE67" s="52"/>
      <c r="FF67" s="49"/>
      <c r="FG67" s="49"/>
      <c r="FH67" s="49"/>
      <c r="FI67" s="49"/>
      <c r="FJ67" s="49"/>
      <c r="FK67" s="49"/>
      <c r="FL67" s="49"/>
    </row>
    <row r="68" spans="1:178" x14ac:dyDescent="0.25">
      <c r="A68" s="102"/>
      <c r="B68" t="s">
        <v>80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>
        <v>155.19999999999999</v>
      </c>
      <c r="BH68" s="51">
        <v>179.5</v>
      </c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>
        <f>5957.3-SUM(BV5:BV65)</f>
        <v>601.19999999999982</v>
      </c>
      <c r="BW68" s="51">
        <f>5602-SUM(BW5:BW65)</f>
        <v>608.79999999999927</v>
      </c>
      <c r="BX68" s="51">
        <f>5929.7-SUM(BX5:BX65)</f>
        <v>569.60000000000036</v>
      </c>
      <c r="BY68" s="51">
        <f>5772.6-SUM(BY5:BY65)</f>
        <v>587.50000000000091</v>
      </c>
      <c r="BZ68" s="51">
        <f>5808.8-SUM(BZ5:BZ65)</f>
        <v>613.70000000000073</v>
      </c>
      <c r="CA68" s="51">
        <f>4683.1-SUM(CA5:CA65)</f>
        <v>462.69999999999982</v>
      </c>
      <c r="CB68" s="51">
        <f>4935.6-SUM(CB5:CB65)</f>
        <v>505.49999999999909</v>
      </c>
      <c r="CC68" s="51">
        <f>4875.6-SUM(CC5:CC65)</f>
        <v>479.30000000000018</v>
      </c>
      <c r="CD68" s="51">
        <f>5121.3-SUM(CD5:CD65)</f>
        <v>387.39999999999964</v>
      </c>
      <c r="CE68" s="51">
        <f>4644.7-SUM(CE5:CE66)</f>
        <v>346.5</v>
      </c>
      <c r="CF68" s="51">
        <f>4978.7-SUM(CF5:CF65)</f>
        <v>340.80000000000018</v>
      </c>
      <c r="CG68" s="51">
        <f>4959.7-SUM(CG5:CG65)</f>
        <v>365.19999999999891</v>
      </c>
      <c r="CH68" s="51">
        <f>5375.6-SUM(CH5:CH65)</f>
        <v>365.30000000000018</v>
      </c>
      <c r="CI68" s="51">
        <f>4865.1-SUM(CI5:CI49)</f>
        <v>463.70000000000073</v>
      </c>
      <c r="CJ68" s="51">
        <f>5404.8-SUM(CJ5:CJ49)</f>
        <v>490.10000000000036</v>
      </c>
      <c r="CK68" s="51">
        <f>5191.7-SUM(CK5:CK49)</f>
        <v>492.09999999999945</v>
      </c>
      <c r="CL68" s="51">
        <f>5760.5-SUM(CL5:CL49)</f>
        <v>528.10000000000036</v>
      </c>
      <c r="CM68" s="51">
        <f>5228.3-SUM(CM5:CM48)</f>
        <v>474.60000000000036</v>
      </c>
      <c r="CN68" s="51">
        <f>5824.3-SUM(CN5:CN48)</f>
        <v>514.19999999999982</v>
      </c>
      <c r="CO68" s="51">
        <f>5658-SUM(CO5:CO48)</f>
        <v>403.29999999999927</v>
      </c>
      <c r="CP68" s="51">
        <f>6160.7-SUM(CP5:CP48)</f>
        <v>420.99999999999909</v>
      </c>
      <c r="CQ68" s="51"/>
      <c r="CR68" s="51">
        <f>6355.2-SUM(CR5:CR48)</f>
        <v>-101.89999999999964</v>
      </c>
      <c r="CS68" s="51">
        <f>6061.9-SUM(CS5:CS48)</f>
        <v>-94.599999999999454</v>
      </c>
      <c r="CT68" s="51">
        <f>6438.6-SUM(CT5:CT48)</f>
        <v>331.80000000000018</v>
      </c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49"/>
      <c r="DX68" s="49"/>
      <c r="DY68" s="49"/>
      <c r="DZ68" s="49"/>
      <c r="EA68" s="49"/>
      <c r="EB68" s="49"/>
      <c r="EC68" s="49"/>
      <c r="ED68" s="49"/>
      <c r="EE68" s="49"/>
      <c r="EF68" s="49"/>
      <c r="EG68" s="49"/>
      <c r="EH68" s="49"/>
      <c r="EI68" s="49"/>
      <c r="EJ68" s="49"/>
      <c r="EK68" s="49"/>
      <c r="EL68" s="49"/>
      <c r="EM68" s="49"/>
      <c r="EN68" s="51"/>
      <c r="EO68" s="51">
        <v>59</v>
      </c>
      <c r="EP68" s="51">
        <v>58</v>
      </c>
      <c r="EQ68" s="51">
        <v>57</v>
      </c>
      <c r="ER68" s="51">
        <v>69</v>
      </c>
      <c r="ES68" s="51">
        <v>65</v>
      </c>
      <c r="ET68" s="51">
        <v>65</v>
      </c>
      <c r="EU68" s="51">
        <v>65</v>
      </c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49"/>
      <c r="FG68" s="49"/>
      <c r="FH68" s="49"/>
      <c r="FI68" s="49"/>
      <c r="FJ68" s="49"/>
      <c r="FK68" s="49"/>
      <c r="FL68" s="49"/>
    </row>
    <row r="69" spans="1:178" x14ac:dyDescent="0.25">
      <c r="A69" s="102"/>
      <c r="B69" t="s">
        <v>76</v>
      </c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49"/>
      <c r="DX69" s="49"/>
      <c r="DY69" s="49"/>
      <c r="DZ69" s="49"/>
      <c r="EA69" s="49"/>
      <c r="EB69" s="49"/>
      <c r="EC69" s="49"/>
      <c r="ED69" s="49"/>
      <c r="EE69" s="49"/>
      <c r="EF69" s="49"/>
      <c r="EG69" s="49"/>
      <c r="EH69" s="49"/>
      <c r="EI69" s="49"/>
      <c r="EJ69" s="49"/>
      <c r="EK69" s="49"/>
      <c r="EL69" s="49"/>
      <c r="EM69" s="49"/>
      <c r="EN69" s="51"/>
      <c r="EO69" s="51">
        <v>35</v>
      </c>
      <c r="EP69" s="51">
        <v>32</v>
      </c>
      <c r="EQ69" s="51">
        <v>19</v>
      </c>
      <c r="ER69" s="51">
        <v>12</v>
      </c>
      <c r="ES69" s="51">
        <v>14</v>
      </c>
      <c r="ET69" s="51">
        <v>10</v>
      </c>
      <c r="EU69" s="51">
        <v>10</v>
      </c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49"/>
      <c r="FG69" s="49"/>
      <c r="FH69" s="49"/>
      <c r="FI69" s="49"/>
      <c r="FJ69" s="49"/>
      <c r="FK69" s="49"/>
      <c r="FL69" s="49"/>
    </row>
    <row r="70" spans="1:178" x14ac:dyDescent="0.25">
      <c r="A70" s="102"/>
      <c r="B70" s="38" t="s">
        <v>249</v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>
        <f>5210.5-SUM(BF11:BF69)</f>
        <v>481.80000000000018</v>
      </c>
      <c r="BG70" s="51">
        <f>4891.8-SUM(BG11:BG69)</f>
        <v>186.30000000000018</v>
      </c>
      <c r="BH70" s="51">
        <f>5113.5-SUM(BH11:BH69)</f>
        <v>71.599999999999454</v>
      </c>
      <c r="BI70" s="51">
        <f>5562-SUM(BI11:BI66)</f>
        <v>424.29999999999927</v>
      </c>
      <c r="BJ70" s="51">
        <f>5934-SUM(BJ11:BJ66)</f>
        <v>449</v>
      </c>
      <c r="BK70" s="51">
        <f>5485.5-SUM(BK11:BK66)</f>
        <v>390.59999999999945</v>
      </c>
      <c r="BL70" s="51">
        <f>5748.7-SUM(BL11:BL66)</f>
        <v>410.40000000000055</v>
      </c>
      <c r="BM70" s="51">
        <f>5654.8-SUM(BM11:BM66)</f>
        <v>381.39999999999964</v>
      </c>
      <c r="BN70" s="51"/>
      <c r="BO70" s="51">
        <f>5839.2-SUM(BO11:BO66)</f>
        <v>410.09999999999854</v>
      </c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2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49"/>
      <c r="DX70" s="49"/>
      <c r="DY70" s="49"/>
      <c r="DZ70" s="49"/>
      <c r="EA70" s="49"/>
      <c r="EB70" s="49"/>
      <c r="EC70" s="49"/>
      <c r="ED70" s="49"/>
      <c r="EE70" s="49"/>
      <c r="EF70" s="49"/>
      <c r="EG70" s="49"/>
      <c r="EH70" s="49"/>
      <c r="EI70" s="49"/>
      <c r="EJ70" s="49"/>
      <c r="EK70" s="49"/>
      <c r="EL70" s="49"/>
      <c r="EM70" s="49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Z70" s="51">
        <v>707.5</v>
      </c>
      <c r="FE70" s="47"/>
      <c r="FF70" s="47"/>
      <c r="FG70" s="49"/>
      <c r="FH70" s="49"/>
      <c r="FI70" s="49"/>
      <c r="FJ70" s="49"/>
      <c r="FK70" s="49"/>
      <c r="FL70" s="49"/>
    </row>
    <row r="71" spans="1:178" s="55" customFormat="1" ht="13" x14ac:dyDescent="0.3">
      <c r="A71" s="107"/>
      <c r="B71" s="55" t="s">
        <v>379</v>
      </c>
      <c r="C71" s="56">
        <f t="shared" ref="C71:F71" si="106">SUM(C11:C70)</f>
        <v>976.7</v>
      </c>
      <c r="D71" s="56">
        <f t="shared" si="106"/>
        <v>1044.1999999999998</v>
      </c>
      <c r="E71" s="56">
        <f t="shared" si="106"/>
        <v>1190.7</v>
      </c>
      <c r="F71" s="56">
        <f t="shared" si="106"/>
        <v>1390.6</v>
      </c>
      <c r="G71" s="56">
        <f t="shared" ref="G71:J71" si="107">SUM(G11:G70)</f>
        <v>1113</v>
      </c>
      <c r="H71" s="56">
        <f t="shared" si="107"/>
        <v>1107</v>
      </c>
      <c r="I71" s="56">
        <f t="shared" si="107"/>
        <v>1176.5</v>
      </c>
      <c r="J71" s="56">
        <f t="shared" si="107"/>
        <v>1326.5</v>
      </c>
      <c r="K71" s="56">
        <f t="shared" ref="K71:N71" si="108">SUM(K11:K70)</f>
        <v>1270.3</v>
      </c>
      <c r="L71" s="56">
        <f t="shared" si="108"/>
        <v>1297.9000000000001</v>
      </c>
      <c r="M71" s="56">
        <f t="shared" si="108"/>
        <v>1486.1000000000001</v>
      </c>
      <c r="N71" s="56">
        <f t="shared" si="108"/>
        <v>1602.8</v>
      </c>
      <c r="O71" s="56">
        <f t="shared" ref="O71:R71" si="109">SUM(O11:O70)</f>
        <v>1430</v>
      </c>
      <c r="P71" s="56">
        <f t="shared" si="109"/>
        <v>1533</v>
      </c>
      <c r="Q71" s="56">
        <f t="shared" si="109"/>
        <v>1733</v>
      </c>
      <c r="R71" s="56">
        <f t="shared" si="109"/>
        <v>1818.2999999999997</v>
      </c>
      <c r="S71" s="56">
        <f t="shared" ref="S71:V71" si="110">SUM(S11:S70)</f>
        <v>1618</v>
      </c>
      <c r="T71" s="56">
        <f t="shared" si="110"/>
        <v>1758.4</v>
      </c>
      <c r="U71" s="56">
        <f t="shared" si="110"/>
        <v>1945.4</v>
      </c>
      <c r="V71" s="56">
        <f t="shared" si="110"/>
        <v>2139.8999999999996</v>
      </c>
      <c r="W71" s="56">
        <f t="shared" ref="W71:Z71" si="111">SUM(W11:W70)</f>
        <v>1746.8999999999999</v>
      </c>
      <c r="X71" s="56">
        <f t="shared" si="111"/>
        <v>1865.9</v>
      </c>
      <c r="Y71" s="56">
        <f t="shared" si="111"/>
        <v>2092.6000000000004</v>
      </c>
      <c r="Z71" s="56">
        <f t="shared" si="111"/>
        <v>2173.6999999999998</v>
      </c>
      <c r="AA71" s="56">
        <f t="shared" ref="AA71:AD71" si="112">SUM(AA11:AA70)</f>
        <v>2097</v>
      </c>
      <c r="AB71" s="56">
        <f t="shared" si="112"/>
        <v>2277.3000000000002</v>
      </c>
      <c r="AC71" s="56">
        <f t="shared" si="112"/>
        <v>2156.1</v>
      </c>
      <c r="AD71" s="56">
        <f t="shared" si="112"/>
        <v>2056.5</v>
      </c>
      <c r="AE71" s="56">
        <f t="shared" ref="AE71:AH71" si="113">SUM(AE11:AE70)</f>
        <v>1906.5</v>
      </c>
      <c r="AF71" s="56">
        <f t="shared" si="113"/>
        <v>2094.9</v>
      </c>
      <c r="AG71" s="56">
        <f t="shared" si="113"/>
        <v>2163.6000000000004</v>
      </c>
      <c r="AH71" s="56">
        <f t="shared" si="113"/>
        <v>2273.6000000000004</v>
      </c>
      <c r="AI71" s="56">
        <f t="shared" ref="AI71:CC71" si="114">SUM(AI11:AI70)</f>
        <v>2388.6999999999998</v>
      </c>
      <c r="AJ71" s="56">
        <f t="shared" si="114"/>
        <v>2585.6</v>
      </c>
      <c r="AK71" s="56">
        <f t="shared" si="114"/>
        <v>2652.3999999999996</v>
      </c>
      <c r="AL71" s="56">
        <f t="shared" si="114"/>
        <v>2920.9999999999995</v>
      </c>
      <c r="AM71" s="56">
        <f t="shared" si="114"/>
        <v>2746.8</v>
      </c>
      <c r="AN71" s="56">
        <f t="shared" si="114"/>
        <v>2955.7000000000003</v>
      </c>
      <c r="AO71" s="56">
        <f t="shared" si="114"/>
        <v>2751.9</v>
      </c>
      <c r="AP71" s="56">
        <f t="shared" si="114"/>
        <v>3320.8</v>
      </c>
      <c r="AQ71" s="56">
        <f t="shared" si="114"/>
        <v>3209.4366336633661</v>
      </c>
      <c r="AR71" s="56">
        <f t="shared" si="114"/>
        <v>3330.7</v>
      </c>
      <c r="AS71" s="56">
        <f t="shared" si="114"/>
        <v>3344.2333333333336</v>
      </c>
      <c r="AT71" s="56">
        <f t="shared" si="114"/>
        <v>3650.4000000000005</v>
      </c>
      <c r="AU71" s="56">
        <f t="shared" si="114"/>
        <v>3437.8</v>
      </c>
      <c r="AV71" s="56">
        <f t="shared" si="114"/>
        <v>3648.1</v>
      </c>
      <c r="AW71" s="56">
        <f t="shared" si="114"/>
        <v>3939.8</v>
      </c>
      <c r="AX71" s="56">
        <f t="shared" si="114"/>
        <v>5680.6</v>
      </c>
      <c r="AY71" s="56">
        <f t="shared" si="114"/>
        <v>4308.9000000000005</v>
      </c>
      <c r="AZ71" s="56">
        <f t="shared" si="114"/>
        <v>4193.8</v>
      </c>
      <c r="BA71" s="56">
        <f t="shared" si="114"/>
        <v>5899.2999999999993</v>
      </c>
      <c r="BB71" s="56">
        <f t="shared" si="114"/>
        <v>6665.7000000000007</v>
      </c>
      <c r="BC71" s="56">
        <f t="shared" si="114"/>
        <v>6241.8000000000011</v>
      </c>
      <c r="BD71" s="56">
        <f t="shared" si="114"/>
        <v>6703.4999999999991</v>
      </c>
      <c r="BE71" s="56">
        <f t="shared" si="114"/>
        <v>6796.9000000000005</v>
      </c>
      <c r="BF71" s="56">
        <f t="shared" si="114"/>
        <v>5210.5</v>
      </c>
      <c r="BG71" s="56">
        <f t="shared" si="114"/>
        <v>4891.8</v>
      </c>
      <c r="BH71" s="56">
        <f t="shared" si="114"/>
        <v>5113.5</v>
      </c>
      <c r="BI71" s="56">
        <f t="shared" si="114"/>
        <v>5562</v>
      </c>
      <c r="BJ71" s="56">
        <f t="shared" si="114"/>
        <v>5934</v>
      </c>
      <c r="BK71" s="56">
        <f t="shared" si="114"/>
        <v>5485.5</v>
      </c>
      <c r="BL71" s="56">
        <f t="shared" si="114"/>
        <v>5748.7</v>
      </c>
      <c r="BM71" s="56">
        <f t="shared" si="114"/>
        <v>5654.8</v>
      </c>
      <c r="BN71" s="56">
        <f t="shared" si="114"/>
        <v>6187.2000000000007</v>
      </c>
      <c r="BO71" s="56">
        <f t="shared" si="114"/>
        <v>5839.2</v>
      </c>
      <c r="BP71" s="56">
        <f t="shared" si="114"/>
        <v>6252.7999999999984</v>
      </c>
      <c r="BQ71" s="56">
        <f t="shared" si="114"/>
        <v>6148.1</v>
      </c>
      <c r="BR71" s="56">
        <f t="shared" si="114"/>
        <v>6047.3</v>
      </c>
      <c r="BS71" s="56">
        <f t="shared" si="114"/>
        <v>5602.4000000000005</v>
      </c>
      <c r="BT71" s="56">
        <f t="shared" si="114"/>
        <v>5600.4999999999991</v>
      </c>
      <c r="BU71" s="56">
        <f t="shared" si="114"/>
        <v>5442.5</v>
      </c>
      <c r="BV71" s="56">
        <f t="shared" si="114"/>
        <v>5957.3</v>
      </c>
      <c r="BW71" s="56">
        <f t="shared" si="114"/>
        <v>5602</v>
      </c>
      <c r="BX71" s="56">
        <f t="shared" si="114"/>
        <v>5929.7</v>
      </c>
      <c r="BY71" s="56">
        <f t="shared" si="114"/>
        <v>5772.6</v>
      </c>
      <c r="BZ71" s="56">
        <f t="shared" si="114"/>
        <v>5808.8</v>
      </c>
      <c r="CA71" s="56">
        <f t="shared" si="114"/>
        <v>4683.1000000000004</v>
      </c>
      <c r="CB71" s="56">
        <f t="shared" si="114"/>
        <v>4935.6000000000004</v>
      </c>
      <c r="CC71" s="56">
        <f t="shared" si="114"/>
        <v>4875.6000000000004</v>
      </c>
      <c r="CD71" s="56">
        <f t="shared" ref="CD71:CZ71" si="115">SUM(CD5:CD70)</f>
        <v>5121.3</v>
      </c>
      <c r="CE71" s="56">
        <f t="shared" si="115"/>
        <v>4644.7</v>
      </c>
      <c r="CF71" s="56">
        <f t="shared" si="115"/>
        <v>4978.7</v>
      </c>
      <c r="CG71" s="56">
        <f t="shared" si="115"/>
        <v>4959.7</v>
      </c>
      <c r="CH71" s="56">
        <f t="shared" si="115"/>
        <v>5375.6</v>
      </c>
      <c r="CI71" s="56">
        <f t="shared" si="115"/>
        <v>4865.1000000000004</v>
      </c>
      <c r="CJ71" s="56">
        <f t="shared" si="115"/>
        <v>5404.8</v>
      </c>
      <c r="CK71" s="56">
        <f t="shared" si="115"/>
        <v>5191.7</v>
      </c>
      <c r="CL71" s="56">
        <f t="shared" si="115"/>
        <v>5760.5</v>
      </c>
      <c r="CM71" s="56">
        <f t="shared" si="115"/>
        <v>5228.3</v>
      </c>
      <c r="CN71" s="56">
        <f t="shared" si="115"/>
        <v>5824.3</v>
      </c>
      <c r="CO71" s="56">
        <f t="shared" si="115"/>
        <v>5658</v>
      </c>
      <c r="CP71" s="56">
        <f t="shared" si="115"/>
        <v>6160.7</v>
      </c>
      <c r="CQ71" s="56">
        <f t="shared" si="115"/>
        <v>4963.8</v>
      </c>
      <c r="CR71" s="56">
        <f t="shared" si="115"/>
        <v>6355.2</v>
      </c>
      <c r="CS71" s="56">
        <f t="shared" si="115"/>
        <v>6061.9</v>
      </c>
      <c r="CT71" s="56">
        <f t="shared" si="115"/>
        <v>6438.6</v>
      </c>
      <c r="CU71" s="56">
        <f t="shared" si="115"/>
        <v>5092.0999999999976</v>
      </c>
      <c r="CV71" s="56">
        <f t="shared" si="115"/>
        <v>5636.8000000000011</v>
      </c>
      <c r="CW71" s="56">
        <f t="shared" si="115"/>
        <v>5476.6</v>
      </c>
      <c r="CX71" s="56">
        <f t="shared" si="115"/>
        <v>6113.7999999999993</v>
      </c>
      <c r="CY71" s="56">
        <f t="shared" si="115"/>
        <v>5859.7999999999975</v>
      </c>
      <c r="CZ71" s="56">
        <f t="shared" si="115"/>
        <v>5499.3999999999987</v>
      </c>
      <c r="DA71" s="56">
        <f>SUM(DA5:DA60)</f>
        <v>5740.5999999999985</v>
      </c>
      <c r="DB71" s="56">
        <f>SUM(DB5:DB62)</f>
        <v>7440.0999999999995</v>
      </c>
      <c r="DC71" s="56">
        <f>SUM(DC5:DC60)</f>
        <v>6805.6</v>
      </c>
      <c r="DD71" s="56">
        <f>SUM(DD5:DD62)</f>
        <v>6739.9999999999973</v>
      </c>
      <c r="DE71" s="56">
        <f>SUM(DE5:DE60)</f>
        <v>6772.9999999999982</v>
      </c>
      <c r="DF71" s="56">
        <f>SUM(DF5:DF62)</f>
        <v>7999.9</v>
      </c>
      <c r="DG71" s="56">
        <f>SUM(DG5:DG41)</f>
        <v>7810.0999999999995</v>
      </c>
      <c r="DH71" s="56">
        <f>SUM(DH5:DH49)</f>
        <v>6487.9000000000015</v>
      </c>
      <c r="DI71" s="56">
        <f t="shared" ref="DI71:DN71" si="116">SUM(DI5:DI41)</f>
        <v>6941.5</v>
      </c>
      <c r="DJ71" s="56">
        <f t="shared" si="116"/>
        <v>7301.9000000000015</v>
      </c>
      <c r="DK71" s="56">
        <f>SUM(DK5:DK49)</f>
        <v>6960.2</v>
      </c>
      <c r="DL71" s="56">
        <f t="shared" si="116"/>
        <v>7733.1999999999989</v>
      </c>
      <c r="DM71" s="56">
        <f>SUM(DM5:DM52)</f>
        <v>8078.699999999998</v>
      </c>
      <c r="DN71" s="56">
        <f t="shared" si="116"/>
        <v>9466.3000000000011</v>
      </c>
      <c r="DO71" s="56">
        <f>SUM(DO5:DO55)</f>
        <v>8768.2999999999993</v>
      </c>
      <c r="DP71" s="56">
        <f>SUM(DP5:DP55)</f>
        <v>11302.699999999999</v>
      </c>
      <c r="DQ71" s="56">
        <f>SUM(DQ5:DQ47)</f>
        <v>11439.200000000004</v>
      </c>
      <c r="DR71" s="56">
        <f>SUM(DR5:DR45)</f>
        <v>13767.610000000002</v>
      </c>
      <c r="DS71" s="56">
        <f>SUM(DS5:DS46)</f>
        <v>12728.2</v>
      </c>
      <c r="DT71" s="56">
        <f>SUM(DT5:DT46)</f>
        <v>14550.630000000003</v>
      </c>
      <c r="DU71" s="56">
        <f>SUM(DU5:DU46)</f>
        <v>15463.440000000006</v>
      </c>
      <c r="DV71" s="56">
        <f>SUM(DV5:DV46)</f>
        <v>16979.501000000004</v>
      </c>
      <c r="DW71" s="57"/>
      <c r="DX71" s="57">
        <v>2140</v>
      </c>
      <c r="DY71" s="57"/>
      <c r="DZ71" s="57"/>
      <c r="EA71" s="57"/>
      <c r="EB71" s="57"/>
      <c r="EC71" s="57"/>
      <c r="ED71" s="57"/>
      <c r="EE71" s="57"/>
      <c r="EF71" s="57">
        <v>5198.5</v>
      </c>
      <c r="EG71" s="57">
        <v>5711.6</v>
      </c>
      <c r="EH71" s="57">
        <v>6508.8</v>
      </c>
      <c r="EI71" s="57">
        <v>6998.3</v>
      </c>
      <c r="EJ71" s="57">
        <v>7987.7</v>
      </c>
      <c r="EK71" s="57">
        <v>9236.7999999999993</v>
      </c>
      <c r="EL71" s="57">
        <v>10002.9</v>
      </c>
      <c r="EM71" s="57">
        <v>10862.2</v>
      </c>
      <c r="EN71" s="56">
        <v>11629</v>
      </c>
      <c r="EO71" s="56">
        <f t="shared" ref="EO71:EZ71" si="117">SUM(EO11:EO70)</f>
        <v>11156.2</v>
      </c>
      <c r="EP71" s="56">
        <f t="shared" si="117"/>
        <v>12585</v>
      </c>
      <c r="EQ71" s="56">
        <f t="shared" si="117"/>
        <v>13859</v>
      </c>
      <c r="ER71" s="56">
        <f t="shared" si="117"/>
        <v>14650</v>
      </c>
      <c r="ES71" s="56">
        <f t="shared" si="117"/>
        <v>15783.499999999998</v>
      </c>
      <c r="ET71" s="56">
        <f t="shared" si="117"/>
        <v>18565.199999999997</v>
      </c>
      <c r="EU71" s="56">
        <f t="shared" si="117"/>
        <v>19604.942499999997</v>
      </c>
      <c r="EV71" s="56">
        <f t="shared" si="117"/>
        <v>20974.425124999998</v>
      </c>
      <c r="EW71" s="56">
        <f t="shared" si="117"/>
        <v>21893.8</v>
      </c>
      <c r="EX71" s="56">
        <f t="shared" si="117"/>
        <v>23877.3</v>
      </c>
      <c r="EY71" s="56">
        <f t="shared" si="117"/>
        <v>22001.5</v>
      </c>
      <c r="EZ71" s="56">
        <f t="shared" si="117"/>
        <v>23113.100000000002</v>
      </c>
      <c r="FA71" s="56">
        <f t="shared" ref="FA71:FV71" si="118">SUM(FA5:FA70)</f>
        <v>19615.7</v>
      </c>
      <c r="FB71" s="56">
        <f t="shared" si="118"/>
        <v>20030.3</v>
      </c>
      <c r="FC71" s="56">
        <f t="shared" si="118"/>
        <v>21623.4</v>
      </c>
      <c r="FD71" s="56">
        <f t="shared" si="118"/>
        <v>19974.200000000004</v>
      </c>
      <c r="FE71" s="56">
        <f t="shared" si="118"/>
        <v>21493.1</v>
      </c>
      <c r="FF71" s="56">
        <f t="shared" si="118"/>
        <v>22319.3</v>
      </c>
      <c r="FG71" s="56">
        <f t="shared" si="118"/>
        <v>24539.899999999998</v>
      </c>
      <c r="FH71" s="56">
        <f t="shared" si="118"/>
        <v>28318.499999999996</v>
      </c>
      <c r="FI71" s="56">
        <f t="shared" si="118"/>
        <v>28541.400000000005</v>
      </c>
      <c r="FJ71" s="56">
        <f t="shared" si="118"/>
        <v>32110.2</v>
      </c>
      <c r="FK71" s="56">
        <f>SUM(FK5:FK70)</f>
        <v>45165.30999999999</v>
      </c>
      <c r="FL71" s="56">
        <f>SUM(FL5:FL70)</f>
        <v>59721.771000000015</v>
      </c>
      <c r="FM71" s="56">
        <f t="shared" si="118"/>
        <v>73284.121110000007</v>
      </c>
      <c r="FN71" s="56">
        <f t="shared" si="118"/>
        <v>92075.134501100038</v>
      </c>
      <c r="FO71" s="56">
        <f t="shared" si="118"/>
        <v>109963.27179411097</v>
      </c>
      <c r="FP71" s="56">
        <f t="shared" si="118"/>
        <v>122981.40591635213</v>
      </c>
      <c r="FQ71" s="56">
        <f t="shared" si="118"/>
        <v>121776.39565375709</v>
      </c>
      <c r="FR71" s="56">
        <f t="shared" si="118"/>
        <v>122904.85262722855</v>
      </c>
      <c r="FS71" s="56">
        <f t="shared" si="118"/>
        <v>126219.63834417415</v>
      </c>
      <c r="FT71" s="56">
        <f t="shared" si="118"/>
        <v>130606.58467174496</v>
      </c>
      <c r="FU71" s="56">
        <f t="shared" si="118"/>
        <v>135938.14999684913</v>
      </c>
      <c r="FV71" s="56">
        <f t="shared" si="118"/>
        <v>133385.73840978669</v>
      </c>
    </row>
    <row r="72" spans="1:178" x14ac:dyDescent="0.25">
      <c r="A72" s="102"/>
      <c r="B72" t="s">
        <v>58</v>
      </c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>
        <v>865.7</v>
      </c>
      <c r="AQ72" s="51">
        <v>859</v>
      </c>
      <c r="AR72" s="51">
        <v>871.3</v>
      </c>
      <c r="AS72" s="51">
        <v>845.7</v>
      </c>
      <c r="AT72" s="51">
        <v>898.2</v>
      </c>
      <c r="AU72" s="51">
        <v>806.5</v>
      </c>
      <c r="AV72" s="47">
        <v>861</v>
      </c>
      <c r="AW72" s="51">
        <v>906.2</v>
      </c>
      <c r="AX72" s="51">
        <v>1066.7</v>
      </c>
      <c r="AY72" s="51">
        <v>922.5</v>
      </c>
      <c r="AZ72" s="51">
        <v>998.9</v>
      </c>
      <c r="BA72" s="51">
        <v>1054.5999999999999</v>
      </c>
      <c r="BB72" s="51">
        <v>1272.8</v>
      </c>
      <c r="BC72" s="51">
        <v>1111.3</v>
      </c>
      <c r="BD72" s="51">
        <v>1200.9000000000001</v>
      </c>
      <c r="BE72" s="51">
        <v>1155.2</v>
      </c>
      <c r="BF72" s="51">
        <v>899.6</v>
      </c>
      <c r="BG72" s="51">
        <v>816.4</v>
      </c>
      <c r="BH72" s="51">
        <v>947.4</v>
      </c>
      <c r="BI72" s="51">
        <v>1051.9000000000001</v>
      </c>
      <c r="BJ72" s="51">
        <v>1431.3</v>
      </c>
      <c r="BK72" s="51">
        <v>1122.5</v>
      </c>
      <c r="BL72" s="51">
        <v>1023.9</v>
      </c>
      <c r="BM72" s="51">
        <v>987.6</v>
      </c>
      <c r="BN72" s="51">
        <v>1232.2</v>
      </c>
      <c r="BO72" s="51">
        <v>1180.0999999999999</v>
      </c>
      <c r="BP72" s="51">
        <v>1228</v>
      </c>
      <c r="BQ72" s="51">
        <v>1338.1</v>
      </c>
      <c r="BR72" s="51">
        <v>1321.7</v>
      </c>
      <c r="BS72" s="51">
        <v>1197.9000000000001</v>
      </c>
      <c r="BT72" s="51">
        <v>1146.7</v>
      </c>
      <c r="BU72" s="51">
        <v>1203.5999999999999</v>
      </c>
      <c r="BV72" s="51">
        <v>1248.3</v>
      </c>
      <c r="BW72" s="51">
        <v>1158.3</v>
      </c>
      <c r="BX72" s="51">
        <v>1165.2</v>
      </c>
      <c r="BY72" s="51">
        <v>1198.0999999999999</v>
      </c>
      <c r="BZ72" s="51">
        <v>1386.5</v>
      </c>
      <c r="CA72" s="51">
        <v>1222.7</v>
      </c>
      <c r="CB72" s="51">
        <v>1189.7</v>
      </c>
      <c r="CC72" s="51">
        <v>1267</v>
      </c>
      <c r="CD72" s="51">
        <v>1253.0999999999999</v>
      </c>
      <c r="CE72" s="51">
        <v>1192.7</v>
      </c>
      <c r="CF72" s="51">
        <v>1033.9000000000001</v>
      </c>
      <c r="CG72" s="51">
        <v>1236.9000000000001</v>
      </c>
      <c r="CH72" s="51">
        <v>1389.2</v>
      </c>
      <c r="CI72" s="51">
        <v>1323</v>
      </c>
      <c r="CJ72" s="51">
        <v>1298.4000000000001</v>
      </c>
      <c r="CK72" s="51">
        <v>1400.9</v>
      </c>
      <c r="CL72" s="51">
        <v>1466</v>
      </c>
      <c r="CM72" s="51">
        <v>1347.9</v>
      </c>
      <c r="CN72" s="51">
        <v>1571.7</v>
      </c>
      <c r="CO72" s="51">
        <v>1586.3</v>
      </c>
      <c r="CP72" s="51">
        <v>1644.9</v>
      </c>
      <c r="CQ72" s="51">
        <v>1571.3</v>
      </c>
      <c r="CR72" s="51">
        <v>1702.7</v>
      </c>
      <c r="CS72" s="51">
        <v>1562.3</v>
      </c>
      <c r="CT72" s="51">
        <v>1593.7</v>
      </c>
      <c r="CU72" s="51">
        <v>1010.5</v>
      </c>
      <c r="CV72" s="51">
        <v>1073.3</v>
      </c>
      <c r="CW72" s="51">
        <v>1118.4000000000001</v>
      </c>
      <c r="CX72" s="51">
        <v>1229.4000000000001</v>
      </c>
      <c r="CY72" s="51">
        <v>1156.5</v>
      </c>
      <c r="CZ72" s="51">
        <v>1119.2</v>
      </c>
      <c r="DA72" s="51">
        <v>1199.9000000000001</v>
      </c>
      <c r="DB72" s="51">
        <v>1719.8</v>
      </c>
      <c r="DC72" s="51">
        <v>1671.4</v>
      </c>
      <c r="DD72" s="51">
        <v>1398</v>
      </c>
      <c r="DE72" s="51">
        <v>1421.8</v>
      </c>
      <c r="DF72" s="51">
        <v>2050.1999999999998</v>
      </c>
      <c r="DG72" s="51">
        <v>1867.5</v>
      </c>
      <c r="DH72" s="51">
        <v>1309.2</v>
      </c>
      <c r="DI72" s="51">
        <v>1579.1</v>
      </c>
      <c r="DJ72" s="51">
        <f>1548.1-124.1</f>
        <v>1424</v>
      </c>
      <c r="DK72" s="51">
        <f>1626.7-125.8</f>
        <v>1500.9</v>
      </c>
      <c r="DL72" s="51">
        <f>1807.4-126.4</f>
        <v>1681</v>
      </c>
      <c r="DM72" s="52">
        <f>1860-125</f>
        <v>1735</v>
      </c>
      <c r="DN72" s="51">
        <f>1788-129</f>
        <v>1659</v>
      </c>
      <c r="DO72" s="51">
        <f>1673.5-139.1</f>
        <v>1534.4</v>
      </c>
      <c r="DP72" s="51">
        <f>2170.2-139.1</f>
        <v>2031.1</v>
      </c>
      <c r="DQ72" s="51">
        <f>2170.8-139.4</f>
        <v>2031.4</v>
      </c>
      <c r="DR72" s="51">
        <f t="shared" ref="DR72" si="119">+DR71-DR73</f>
        <v>2615.8459000000003</v>
      </c>
      <c r="DS72" s="51">
        <v>2224.1999999999998</v>
      </c>
      <c r="DT72" s="51">
        <f>+DT71-DT73</f>
        <v>2764.6196999999993</v>
      </c>
      <c r="DU72" s="51">
        <f>+DU71-DU73</f>
        <v>2938.0536000000011</v>
      </c>
      <c r="DV72" s="51">
        <f>+DV71-DV73</f>
        <v>3226.1051900000002</v>
      </c>
      <c r="DX72" s="49"/>
      <c r="DY72" s="49"/>
      <c r="DZ72" s="49"/>
      <c r="EA72" s="49"/>
      <c r="EB72" s="49"/>
      <c r="EC72" s="49"/>
      <c r="ED72" s="49"/>
      <c r="EE72" s="49"/>
      <c r="EF72" s="49"/>
      <c r="EG72" s="49"/>
      <c r="EH72" s="49"/>
      <c r="EI72" s="49"/>
      <c r="EJ72" s="49">
        <v>1946</v>
      </c>
      <c r="EK72" s="49">
        <v>2015.1</v>
      </c>
      <c r="EL72" s="49">
        <v>2098</v>
      </c>
      <c r="EM72" s="49">
        <v>2055.6999999999998</v>
      </c>
      <c r="EN72" s="51">
        <v>2160</v>
      </c>
      <c r="EO72" s="51">
        <v>2177</v>
      </c>
      <c r="EP72" s="51">
        <v>2675</v>
      </c>
      <c r="EQ72" s="51">
        <v>3224</v>
      </c>
      <c r="ER72" s="51">
        <v>3474</v>
      </c>
      <c r="ES72" s="51">
        <v>3501</v>
      </c>
      <c r="ET72" s="51">
        <f>ET71-ET73</f>
        <v>4084.3439999999991</v>
      </c>
      <c r="EU72" s="51">
        <f>EU71-EU73</f>
        <v>-980.75749999999971</v>
      </c>
      <c r="EV72" s="51">
        <f>EV71-EV73</f>
        <v>3720.1251249999987</v>
      </c>
      <c r="EW72" s="51">
        <f>SUM(BK72:BN72)</f>
        <v>4366.2</v>
      </c>
      <c r="EX72" s="51">
        <f>SUM(BO72:BR72)</f>
        <v>5067.8999999999996</v>
      </c>
      <c r="EY72" s="51">
        <f>SUM(BS72:BV72)</f>
        <v>4796.5</v>
      </c>
      <c r="EZ72" s="51">
        <f t="shared" ref="EZ72:FA72" si="120">EZ71-EZ73</f>
        <v>23113.100000000002</v>
      </c>
      <c r="FA72" s="51">
        <f t="shared" si="120"/>
        <v>19615.7</v>
      </c>
      <c r="FB72" s="51"/>
      <c r="FC72" s="51"/>
      <c r="FD72" s="51">
        <v>4447.7</v>
      </c>
      <c r="FE72" s="51">
        <v>4681.7</v>
      </c>
      <c r="FF72" s="49">
        <f t="shared" ref="FF72" si="121">SUM(CU72:CX72)</f>
        <v>4431.6000000000004</v>
      </c>
      <c r="FG72" s="49">
        <f t="shared" ref="FG72" si="122">SUM(CY72:DB72)</f>
        <v>5195.3999999999996</v>
      </c>
      <c r="FH72" s="49">
        <f>SUM(DC72:DF72)</f>
        <v>6541.4</v>
      </c>
      <c r="FI72" s="49">
        <f>SUM(DG72:DJ72)</f>
        <v>6179.7999999999993</v>
      </c>
      <c r="FJ72" s="49">
        <f>SUM(DK72:DN72)</f>
        <v>6575.9</v>
      </c>
      <c r="FK72" s="49">
        <f>SUM(Model!DO72:DR72)</f>
        <v>8212.7458999999999</v>
      </c>
      <c r="FL72" s="49">
        <f t="shared" ref="FL72:FQ72" si="123">FL71-FL73</f>
        <v>12541.571909999999</v>
      </c>
      <c r="FM72" s="49">
        <f t="shared" si="123"/>
        <v>15389.665433099995</v>
      </c>
      <c r="FN72" s="49">
        <f t="shared" si="123"/>
        <v>19335.778245231006</v>
      </c>
      <c r="FO72" s="49">
        <f t="shared" si="123"/>
        <v>23092.287076763299</v>
      </c>
      <c r="FP72" s="49">
        <f t="shared" si="123"/>
        <v>25826.095242433948</v>
      </c>
      <c r="FQ72" s="49">
        <f t="shared" si="123"/>
        <v>18266.459348063567</v>
      </c>
      <c r="FR72" s="49">
        <f t="shared" ref="FR72:FU72" si="124">FR71-FR73</f>
        <v>18435.727894084281</v>
      </c>
      <c r="FS72" s="49">
        <f t="shared" si="124"/>
        <v>18932.945751626132</v>
      </c>
      <c r="FT72" s="49">
        <f t="shared" si="124"/>
        <v>19590.987700761747</v>
      </c>
      <c r="FU72" s="49">
        <f t="shared" si="124"/>
        <v>20390.722499527372</v>
      </c>
      <c r="FV72" s="49">
        <f>FV71-FV73</f>
        <v>20007.860761468008</v>
      </c>
    </row>
    <row r="73" spans="1:178" x14ac:dyDescent="0.25">
      <c r="A73" s="102"/>
      <c r="B73" t="s">
        <v>123</v>
      </c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>
        <f t="shared" ref="AP73:AX73" si="125">AP71-AP72</f>
        <v>2455.1000000000004</v>
      </c>
      <c r="AQ73" s="51">
        <f t="shared" si="125"/>
        <v>2350.4366336633661</v>
      </c>
      <c r="AR73" s="51">
        <f t="shared" si="125"/>
        <v>2459.3999999999996</v>
      </c>
      <c r="AS73" s="51">
        <f t="shared" si="125"/>
        <v>2498.5333333333338</v>
      </c>
      <c r="AT73" s="51">
        <f t="shared" si="125"/>
        <v>2752.2000000000007</v>
      </c>
      <c r="AU73" s="51">
        <f t="shared" si="125"/>
        <v>2631.3</v>
      </c>
      <c r="AV73" s="51">
        <f t="shared" si="125"/>
        <v>2787.1</v>
      </c>
      <c r="AW73" s="51">
        <f t="shared" si="125"/>
        <v>3033.6000000000004</v>
      </c>
      <c r="AX73" s="51">
        <f t="shared" si="125"/>
        <v>4613.9000000000005</v>
      </c>
      <c r="AY73" s="51">
        <f t="shared" ref="AY73:BG73" si="126">AY71-AY72</f>
        <v>3386.4000000000005</v>
      </c>
      <c r="AZ73" s="51">
        <f t="shared" si="126"/>
        <v>3194.9</v>
      </c>
      <c r="BA73" s="51">
        <f t="shared" si="126"/>
        <v>4844.6999999999989</v>
      </c>
      <c r="BB73" s="51">
        <f t="shared" si="126"/>
        <v>5392.9000000000005</v>
      </c>
      <c r="BC73" s="51">
        <f t="shared" si="126"/>
        <v>5130.5000000000009</v>
      </c>
      <c r="BD73" s="51">
        <f t="shared" si="126"/>
        <v>5502.5999999999985</v>
      </c>
      <c r="BE73" s="51">
        <f t="shared" si="126"/>
        <v>5641.7000000000007</v>
      </c>
      <c r="BF73" s="51">
        <f t="shared" si="126"/>
        <v>4310.8999999999996</v>
      </c>
      <c r="BG73" s="51">
        <f t="shared" si="126"/>
        <v>4075.4</v>
      </c>
      <c r="BH73" s="51">
        <f t="shared" ref="BH73:BM73" si="127">BH71-BH72</f>
        <v>4166.1000000000004</v>
      </c>
      <c r="BI73" s="51">
        <f t="shared" si="127"/>
        <v>4510.1000000000004</v>
      </c>
      <c r="BJ73" s="51">
        <f t="shared" si="127"/>
        <v>4502.7</v>
      </c>
      <c r="BK73" s="51">
        <f t="shared" si="127"/>
        <v>4363</v>
      </c>
      <c r="BL73" s="51">
        <f t="shared" si="127"/>
        <v>4724.8</v>
      </c>
      <c r="BM73" s="51">
        <f t="shared" si="127"/>
        <v>4667.2</v>
      </c>
      <c r="BN73" s="51">
        <f>+BN71-BN72</f>
        <v>4955.0000000000009</v>
      </c>
      <c r="BO73" s="51">
        <f>+BO71-BO72</f>
        <v>4659.1000000000004</v>
      </c>
      <c r="BP73" s="51">
        <f>BP71-BP72</f>
        <v>5024.7999999999984</v>
      </c>
      <c r="BQ73" s="51">
        <f>BQ71-BQ72</f>
        <v>4810</v>
      </c>
      <c r="BR73" s="51">
        <f>+BR71-BR72</f>
        <v>4725.6000000000004</v>
      </c>
      <c r="BS73" s="51">
        <f>+BS71-BS72</f>
        <v>4404.5</v>
      </c>
      <c r="BT73" s="51">
        <f>+BT71-BT72</f>
        <v>4453.7999999999993</v>
      </c>
      <c r="BU73" s="51">
        <f>+BU71-BU72</f>
        <v>4238.8999999999996</v>
      </c>
      <c r="BV73" s="51">
        <f>+BV71-BV72</f>
        <v>4709</v>
      </c>
      <c r="BW73" s="51">
        <f t="shared" ref="BW73:BZ73" si="128">+BW71-BW72</f>
        <v>4443.7</v>
      </c>
      <c r="BX73" s="51">
        <f t="shared" si="128"/>
        <v>4764.5</v>
      </c>
      <c r="BY73" s="51">
        <f t="shared" si="128"/>
        <v>4574.5</v>
      </c>
      <c r="BZ73" s="51">
        <f t="shared" si="128"/>
        <v>4422.3</v>
      </c>
      <c r="CA73" s="51">
        <f t="shared" ref="CA73" si="129">CA71-CA72</f>
        <v>3460.4000000000005</v>
      </c>
      <c r="CB73" s="51">
        <f t="shared" ref="CB73:CC73" si="130">CB71-CB72</f>
        <v>3745.9000000000005</v>
      </c>
      <c r="CC73" s="51">
        <f t="shared" si="130"/>
        <v>3608.6000000000004</v>
      </c>
      <c r="CD73" s="51">
        <f t="shared" ref="CD73" si="131">CD71-CD72</f>
        <v>3868.2000000000003</v>
      </c>
      <c r="CE73" s="51">
        <f t="shared" ref="CE73:CF73" si="132">CE71-CE72</f>
        <v>3452</v>
      </c>
      <c r="CF73" s="51">
        <f t="shared" si="132"/>
        <v>3944.7999999999997</v>
      </c>
      <c r="CG73" s="51">
        <f t="shared" ref="CG73:CI73" si="133">CG71-CG72</f>
        <v>3722.7999999999997</v>
      </c>
      <c r="CH73" s="51">
        <f t="shared" si="133"/>
        <v>3986.4000000000005</v>
      </c>
      <c r="CI73" s="51">
        <f t="shared" si="133"/>
        <v>3542.1000000000004</v>
      </c>
      <c r="CJ73" s="51">
        <f t="shared" ref="CJ73:CK73" si="134">CJ71-CJ72</f>
        <v>4106.3999999999996</v>
      </c>
      <c r="CK73" s="51">
        <f t="shared" si="134"/>
        <v>3790.7999999999997</v>
      </c>
      <c r="CL73" s="51">
        <f t="shared" ref="CL73:CM73" si="135">CL71-CL72</f>
        <v>4294.5</v>
      </c>
      <c r="CM73" s="51">
        <f t="shared" si="135"/>
        <v>3880.4</v>
      </c>
      <c r="CN73" s="51">
        <f t="shared" ref="CN73:CP73" si="136">CN71-CN72</f>
        <v>4252.6000000000004</v>
      </c>
      <c r="CO73" s="51">
        <f t="shared" si="136"/>
        <v>4071.7</v>
      </c>
      <c r="CP73" s="51">
        <f t="shared" si="136"/>
        <v>4515.7999999999993</v>
      </c>
      <c r="CQ73" s="51">
        <f t="shared" ref="CQ73:CR73" si="137">CQ71-CQ72</f>
        <v>3392.5</v>
      </c>
      <c r="CR73" s="51">
        <f t="shared" si="137"/>
        <v>4652.5</v>
      </c>
      <c r="CS73" s="51">
        <f t="shared" ref="CS73:CT73" si="138">CS71-CS72</f>
        <v>4499.5999999999995</v>
      </c>
      <c r="CT73" s="51">
        <f t="shared" si="138"/>
        <v>4844.9000000000005</v>
      </c>
      <c r="CU73" s="51">
        <f t="shared" ref="CU73:DG73" si="139">CU71-CU72</f>
        <v>4081.5999999999976</v>
      </c>
      <c r="CV73" s="51">
        <f t="shared" si="139"/>
        <v>4563.5000000000009</v>
      </c>
      <c r="CW73" s="51">
        <f t="shared" si="139"/>
        <v>4358.2000000000007</v>
      </c>
      <c r="CX73" s="51">
        <f t="shared" si="139"/>
        <v>4884.3999999999996</v>
      </c>
      <c r="CY73" s="51">
        <f t="shared" si="139"/>
        <v>4703.2999999999975</v>
      </c>
      <c r="CZ73" s="51">
        <f t="shared" si="139"/>
        <v>4380.1999999999989</v>
      </c>
      <c r="DA73" s="51">
        <f t="shared" si="139"/>
        <v>4540.6999999999989</v>
      </c>
      <c r="DB73" s="51">
        <f t="shared" si="139"/>
        <v>5720.2999999999993</v>
      </c>
      <c r="DC73" s="51">
        <f t="shared" si="139"/>
        <v>5134.2000000000007</v>
      </c>
      <c r="DD73" s="51">
        <f t="shared" si="139"/>
        <v>5341.9999999999973</v>
      </c>
      <c r="DE73" s="51">
        <f t="shared" si="139"/>
        <v>5351.199999999998</v>
      </c>
      <c r="DF73" s="51">
        <f t="shared" si="139"/>
        <v>5949.7</v>
      </c>
      <c r="DG73" s="51">
        <f t="shared" si="139"/>
        <v>5942.5999999999995</v>
      </c>
      <c r="DH73" s="51">
        <f>DH71-DH72</f>
        <v>5178.7000000000016</v>
      </c>
      <c r="DI73" s="51">
        <f>+DI71-DI72</f>
        <v>5362.4</v>
      </c>
      <c r="DJ73" s="51">
        <f>+DJ71-DJ72</f>
        <v>5877.9000000000015</v>
      </c>
      <c r="DK73" s="51">
        <f>DK71-DK72</f>
        <v>5459.2999999999993</v>
      </c>
      <c r="DL73" s="51">
        <f t="shared" ref="DL73:DQ73" si="140">+DL71-DL72</f>
        <v>6052.1999999999989</v>
      </c>
      <c r="DM73" s="51">
        <f t="shared" si="140"/>
        <v>6343.699999999998</v>
      </c>
      <c r="DN73" s="51">
        <f t="shared" si="140"/>
        <v>7807.3000000000011</v>
      </c>
      <c r="DO73" s="51">
        <f t="shared" si="140"/>
        <v>7233.9</v>
      </c>
      <c r="DP73" s="51">
        <f t="shared" si="140"/>
        <v>9271.5999999999985</v>
      </c>
      <c r="DQ73" s="51">
        <f t="shared" si="140"/>
        <v>9407.8000000000047</v>
      </c>
      <c r="DR73" s="51">
        <f t="shared" ref="DR73" si="141">+DR71*0.81</f>
        <v>11151.764100000002</v>
      </c>
      <c r="DS73" s="51">
        <f>+DS71-DS72</f>
        <v>10504</v>
      </c>
      <c r="DT73" s="51">
        <f>+DT71*0.81</f>
        <v>11786.010300000004</v>
      </c>
      <c r="DU73" s="51">
        <f>+DU71*0.81</f>
        <v>12525.386400000005</v>
      </c>
      <c r="DV73" s="51">
        <f>+DV71*0.81</f>
        <v>13753.395810000004</v>
      </c>
      <c r="DX73" s="49"/>
      <c r="DY73" s="49"/>
      <c r="DZ73" s="49"/>
      <c r="EA73" s="49"/>
      <c r="EB73" s="49"/>
      <c r="EC73" s="49"/>
      <c r="ED73" s="49"/>
      <c r="EE73" s="49"/>
      <c r="EF73" s="49"/>
      <c r="EG73" s="49"/>
      <c r="EH73" s="49"/>
      <c r="EI73" s="49"/>
      <c r="EJ73" s="49">
        <f>+EJ71-EJ72</f>
        <v>6041.7</v>
      </c>
      <c r="EK73" s="49">
        <f>+EK71-EK72</f>
        <v>7221.6999999999989</v>
      </c>
      <c r="EL73" s="49">
        <f t="shared" ref="EL73:EN73" si="142">+EL71-EL72</f>
        <v>7904.9</v>
      </c>
      <c r="EM73" s="49">
        <f t="shared" si="142"/>
        <v>8806.5</v>
      </c>
      <c r="EN73" s="49">
        <f t="shared" si="142"/>
        <v>9469</v>
      </c>
      <c r="EO73" s="51">
        <f t="shared" ref="EO73:ES73" si="143">EO71-EO72</f>
        <v>8979.2000000000007</v>
      </c>
      <c r="EP73" s="51">
        <f t="shared" si="143"/>
        <v>9910</v>
      </c>
      <c r="EQ73" s="51">
        <f t="shared" si="143"/>
        <v>10635</v>
      </c>
      <c r="ER73" s="51">
        <f t="shared" si="143"/>
        <v>11176</v>
      </c>
      <c r="ES73" s="51">
        <f t="shared" si="143"/>
        <v>12282.499999999998</v>
      </c>
      <c r="ET73" s="51">
        <f>ET71*ET94</f>
        <v>14480.855999999998</v>
      </c>
      <c r="EU73" s="51">
        <f>SUM(BC73:BF73)</f>
        <v>20585.699999999997</v>
      </c>
      <c r="EV73" s="51">
        <f>SUM(BG73:BJ73)</f>
        <v>17254.3</v>
      </c>
      <c r="EW73" s="51">
        <f>EW71-EW72</f>
        <v>17527.599999999999</v>
      </c>
      <c r="EX73" s="51">
        <f>EX71-EX72</f>
        <v>18809.400000000001</v>
      </c>
      <c r="EY73" s="51">
        <f>EY71-EY72</f>
        <v>17205</v>
      </c>
      <c r="EZ73" s="51">
        <f t="shared" ref="EZ73:FA73" si="144">EZ71*EZ94</f>
        <v>0</v>
      </c>
      <c r="FA73" s="51">
        <f t="shared" si="144"/>
        <v>0</v>
      </c>
      <c r="FB73" s="51"/>
      <c r="FC73" s="51"/>
      <c r="FD73" s="51">
        <f t="shared" ref="FD73:FE73" si="145">+FD71-FD72</f>
        <v>15526.500000000004</v>
      </c>
      <c r="FE73" s="51">
        <f t="shared" si="145"/>
        <v>16811.399999999998</v>
      </c>
      <c r="FF73" s="51">
        <f>+FF71-FF72</f>
        <v>17887.699999999997</v>
      </c>
      <c r="FG73" s="51">
        <f>+FG71-FG72</f>
        <v>19344.5</v>
      </c>
      <c r="FH73" s="51">
        <f>+FH71-FH72</f>
        <v>21777.1</v>
      </c>
      <c r="FI73" s="51">
        <f>+FI71-FI72</f>
        <v>22361.600000000006</v>
      </c>
      <c r="FJ73" s="51">
        <f>+FJ71-FJ72</f>
        <v>25534.300000000003</v>
      </c>
      <c r="FK73" s="51">
        <f>FK71-FK72</f>
        <v>36952.564099999989</v>
      </c>
      <c r="FL73" s="51">
        <f t="shared" ref="FL73:FO73" si="146">FL71*0.79</f>
        <v>47180.199090000016</v>
      </c>
      <c r="FM73" s="51">
        <f t="shared" si="146"/>
        <v>57894.455676900012</v>
      </c>
      <c r="FN73" s="51">
        <f t="shared" si="146"/>
        <v>72739.356255869032</v>
      </c>
      <c r="FO73" s="51">
        <f t="shared" si="146"/>
        <v>86870.984717347674</v>
      </c>
      <c r="FP73" s="51">
        <f>FP71*0.79</f>
        <v>97155.310673918182</v>
      </c>
      <c r="FQ73" s="51">
        <f>FQ71*0.85</f>
        <v>103509.93630569353</v>
      </c>
      <c r="FR73" s="51">
        <f t="shared" ref="FR73:FU73" si="147">FR71*0.85</f>
        <v>104469.12473314427</v>
      </c>
      <c r="FS73" s="51">
        <f t="shared" si="147"/>
        <v>107286.69259254802</v>
      </c>
      <c r="FT73" s="51">
        <f t="shared" si="147"/>
        <v>111015.59697098321</v>
      </c>
      <c r="FU73" s="51">
        <f t="shared" si="147"/>
        <v>115547.42749732175</v>
      </c>
      <c r="FV73" s="51">
        <f>FV71*0.85</f>
        <v>113377.87764831868</v>
      </c>
    </row>
    <row r="74" spans="1:178" x14ac:dyDescent="0.25">
      <c r="A74" s="102"/>
      <c r="B74" t="s">
        <v>59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>
        <v>1098</v>
      </c>
      <c r="AQ74" s="51">
        <v>1090</v>
      </c>
      <c r="AR74" s="51">
        <v>1146.0999999999999</v>
      </c>
      <c r="AS74" s="51">
        <v>1070.9000000000001</v>
      </c>
      <c r="AT74" s="51">
        <v>1190</v>
      </c>
      <c r="AU74" s="51">
        <v>1143</v>
      </c>
      <c r="AV74" s="51">
        <v>1238</v>
      </c>
      <c r="AW74" s="51">
        <v>1302.3</v>
      </c>
      <c r="AX74" s="51">
        <v>1422.1</v>
      </c>
      <c r="AY74" s="51">
        <v>1336.8</v>
      </c>
      <c r="AZ74" s="51">
        <v>1524.7</v>
      </c>
      <c r="BA74" s="51">
        <v>1477.8</v>
      </c>
      <c r="BB74" s="51">
        <v>1755.8</v>
      </c>
      <c r="BC74" s="51">
        <v>1550.5</v>
      </c>
      <c r="BD74" s="51">
        <v>1700.1</v>
      </c>
      <c r="BE74" s="51">
        <v>1649.2</v>
      </c>
      <c r="BF74" s="51">
        <v>1718.6</v>
      </c>
      <c r="BG74" s="51">
        <v>1529.2</v>
      </c>
      <c r="BH74" s="51">
        <v>1708.2</v>
      </c>
      <c r="BI74" s="51">
        <v>1701.8</v>
      </c>
      <c r="BJ74" s="51">
        <v>1953.3</v>
      </c>
      <c r="BK74" s="51">
        <v>1614.4</v>
      </c>
      <c r="BL74" s="51">
        <v>1755.4</v>
      </c>
      <c r="BM74" s="51">
        <v>1694.9</v>
      </c>
      <c r="BN74" s="51">
        <v>1988.7</v>
      </c>
      <c r="BO74" s="51">
        <v>1785.7</v>
      </c>
      <c r="BP74" s="51">
        <v>2043</v>
      </c>
      <c r="BQ74" s="51">
        <v>1917.8</v>
      </c>
      <c r="BR74" s="51">
        <v>2133.4</v>
      </c>
      <c r="BS74" s="51">
        <v>1847.5</v>
      </c>
      <c r="BT74" s="51">
        <v>1931.1</v>
      </c>
      <c r="BU74" s="51">
        <v>1757.4</v>
      </c>
      <c r="BV74" s="51">
        <v>1977.5</v>
      </c>
      <c r="BW74" s="51">
        <v>1652</v>
      </c>
      <c r="BX74" s="51">
        <v>1867.6</v>
      </c>
      <c r="BY74" s="51">
        <v>1652.4</v>
      </c>
      <c r="BZ74" s="51">
        <v>1953.6</v>
      </c>
      <c r="CA74" s="51">
        <v>1484.9</v>
      </c>
      <c r="CB74" s="51">
        <v>1663.9</v>
      </c>
      <c r="CC74" s="51">
        <v>1672.1</v>
      </c>
      <c r="CD74" s="51">
        <v>1799.9</v>
      </c>
      <c r="CE74" s="51">
        <v>1523.5</v>
      </c>
      <c r="CF74" s="51">
        <v>1635.4</v>
      </c>
      <c r="CG74" s="51">
        <v>1575.7</v>
      </c>
      <c r="CH74" s="51">
        <v>1798.4</v>
      </c>
      <c r="CI74" s="51">
        <v>1473.9</v>
      </c>
      <c r="CJ74" s="51">
        <v>1622.6</v>
      </c>
      <c r="CK74" s="51">
        <v>1565.4</v>
      </c>
      <c r="CL74" s="51">
        <v>1790.1</v>
      </c>
      <c r="CM74" s="51">
        <v>1567.7</v>
      </c>
      <c r="CN74" s="51">
        <v>1730.4</v>
      </c>
      <c r="CO74" s="51">
        <v>1578.5</v>
      </c>
      <c r="CP74" s="51">
        <v>1803.5</v>
      </c>
      <c r="CQ74" s="51">
        <v>1500</v>
      </c>
      <c r="CR74" s="51">
        <v>1653.7</v>
      </c>
      <c r="CS74" s="51">
        <v>1616.6</v>
      </c>
      <c r="CT74" s="51">
        <v>1861.5</v>
      </c>
      <c r="CU74" s="51">
        <v>1517.1</v>
      </c>
      <c r="CV74" s="51">
        <v>1586.3</v>
      </c>
      <c r="CW74" s="51">
        <v>1412.3</v>
      </c>
      <c r="CX74" s="51">
        <v>1698.1</v>
      </c>
      <c r="CY74" s="51">
        <v>1549.6</v>
      </c>
      <c r="CZ74" s="51">
        <v>1448.6</v>
      </c>
      <c r="DA74" s="51">
        <v>1569.1</v>
      </c>
      <c r="DB74" s="51">
        <v>1553.9</v>
      </c>
      <c r="DC74" s="51">
        <v>1576</v>
      </c>
      <c r="DD74" s="51">
        <v>1685.7</v>
      </c>
      <c r="DE74" s="51">
        <v>1577.9</v>
      </c>
      <c r="DF74" s="51">
        <v>1592</v>
      </c>
      <c r="DG74" s="51">
        <v>1557.9</v>
      </c>
      <c r="DH74" s="51">
        <v>1781.9</v>
      </c>
      <c r="DI74" s="51">
        <v>1614.2</v>
      </c>
      <c r="DJ74" s="51">
        <v>1643.2</v>
      </c>
      <c r="DK74" s="51">
        <v>1749.2</v>
      </c>
      <c r="DL74" s="51">
        <v>1925.4</v>
      </c>
      <c r="DM74" s="51">
        <f t="shared" ref="DM74:DM75" si="148">+DI74</f>
        <v>1614.2</v>
      </c>
      <c r="DN74" s="51">
        <v>1924.6</v>
      </c>
      <c r="DO74" s="51">
        <v>1952.2</v>
      </c>
      <c r="DP74" s="51">
        <v>2117.3000000000002</v>
      </c>
      <c r="DQ74" s="51">
        <v>2734.1</v>
      </c>
      <c r="DR74" s="51">
        <f t="shared" ref="DR74:DR75" si="149">+DN74*1.1</f>
        <v>2117.06</v>
      </c>
      <c r="DS74" s="51">
        <v>2468.8000000000002</v>
      </c>
      <c r="DT74" s="51">
        <f t="shared" ref="DT74:DV75" si="150">+DP74*1.1</f>
        <v>2329.0300000000002</v>
      </c>
      <c r="DU74" s="51">
        <f t="shared" si="150"/>
        <v>3007.51</v>
      </c>
      <c r="DV74" s="51">
        <f t="shared" si="150"/>
        <v>2328.7660000000001</v>
      </c>
      <c r="DX74" s="49"/>
      <c r="DY74" s="49"/>
      <c r="DZ74" s="49"/>
      <c r="EA74" s="49"/>
      <c r="EB74" s="49"/>
      <c r="EC74" s="49"/>
      <c r="ED74" s="49"/>
      <c r="EE74" s="49"/>
      <c r="EF74" s="49"/>
      <c r="EG74" s="49"/>
      <c r="EH74" s="49"/>
      <c r="EI74" s="49"/>
      <c r="EJ74" s="49">
        <v>2233.1</v>
      </c>
      <c r="EK74" s="49">
        <v>2658.3</v>
      </c>
      <c r="EL74" s="49">
        <v>2757.6</v>
      </c>
      <c r="EM74" s="49">
        <v>3228.3</v>
      </c>
      <c r="EN74" s="51">
        <v>3417</v>
      </c>
      <c r="EO74" s="51">
        <v>3424</v>
      </c>
      <c r="EP74" s="51">
        <v>4055</v>
      </c>
      <c r="EQ74" s="51">
        <v>4284</v>
      </c>
      <c r="ER74" s="51">
        <v>4497</v>
      </c>
      <c r="ES74" s="51">
        <v>4752</v>
      </c>
      <c r="ET74" s="51">
        <f>ES74*1.03</f>
        <v>4894.5600000000004</v>
      </c>
      <c r="EU74" s="51">
        <f>SUM(BC74:BF74)</f>
        <v>6618.4</v>
      </c>
      <c r="EV74" s="51">
        <f>SUM(BG74:BJ74)</f>
        <v>6892.5</v>
      </c>
      <c r="EW74" s="51">
        <f>SUM(BK74:BN74)</f>
        <v>7053.4000000000005</v>
      </c>
      <c r="EX74" s="51">
        <f t="shared" ref="EX74:EX75" si="151">SUM(BO74:BR74)</f>
        <v>7879.9</v>
      </c>
      <c r="EY74" s="51">
        <f t="shared" ref="EY74" si="152">SUM(BS74:BV74)</f>
        <v>7513.5</v>
      </c>
      <c r="EZ74" s="51">
        <f>EY74*0.95</f>
        <v>7137.8249999999998</v>
      </c>
      <c r="FA74" s="51">
        <f>EZ74*0.8</f>
        <v>5710.26</v>
      </c>
      <c r="FB74" s="51"/>
      <c r="FC74" s="51"/>
      <c r="FD74" s="51">
        <v>5982.4</v>
      </c>
      <c r="FE74" s="51">
        <v>5975.1</v>
      </c>
      <c r="FF74" s="49">
        <f t="shared" ref="FF74:FF75" si="153">SUM(CU74:CX74)</f>
        <v>6213.7999999999993</v>
      </c>
      <c r="FG74" s="49">
        <f t="shared" ref="FG74:FG75" si="154">SUM(CY74:DB74)</f>
        <v>6121.1999999999989</v>
      </c>
      <c r="FH74" s="49">
        <f>SUM(DC74:DF74)</f>
        <v>6431.6</v>
      </c>
      <c r="FI74" s="49">
        <f>SUM(DG74:DJ74)</f>
        <v>6597.2</v>
      </c>
      <c r="FJ74" s="49">
        <f>SUM(DK74:DN74)</f>
        <v>7213.4</v>
      </c>
      <c r="FK74" s="49">
        <f>SUM(Model!DO74:DR74)</f>
        <v>8920.66</v>
      </c>
      <c r="FL74" s="49">
        <f t="shared" ref="FL74:FP74" si="155">+FL71*0.25</f>
        <v>14930.442750000004</v>
      </c>
      <c r="FM74" s="49">
        <f t="shared" si="155"/>
        <v>18321.030277500002</v>
      </c>
      <c r="FN74" s="49">
        <f t="shared" si="155"/>
        <v>23018.783625275009</v>
      </c>
      <c r="FO74" s="49">
        <f t="shared" si="155"/>
        <v>27490.817948527743</v>
      </c>
      <c r="FP74" s="49">
        <f t="shared" si="155"/>
        <v>30745.351479088033</v>
      </c>
      <c r="FQ74" s="49">
        <f>+FQ71*0.25</f>
        <v>30444.098913439273</v>
      </c>
      <c r="FR74" s="49">
        <f t="shared" ref="FR74:FU74" si="156">+FR71*0.25</f>
        <v>30726.213156807138</v>
      </c>
      <c r="FS74" s="49">
        <f t="shared" si="156"/>
        <v>31554.909586043537</v>
      </c>
      <c r="FT74" s="49">
        <f>+FT71*0.25</f>
        <v>32651.64616793624</v>
      </c>
      <c r="FU74" s="49">
        <f t="shared" si="156"/>
        <v>33984.537499212282</v>
      </c>
      <c r="FV74" s="49">
        <f>+FV71*0.25</f>
        <v>33346.434602446672</v>
      </c>
    </row>
    <row r="75" spans="1:178" x14ac:dyDescent="0.25">
      <c r="A75" s="102"/>
      <c r="B75" t="s">
        <v>60</v>
      </c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>
        <v>706</v>
      </c>
      <c r="AQ75" s="51">
        <v>702</v>
      </c>
      <c r="AR75" s="51">
        <v>762.4</v>
      </c>
      <c r="AS75" s="51">
        <v>751</v>
      </c>
      <c r="AT75" s="51">
        <v>810</v>
      </c>
      <c r="AU75" s="51">
        <v>741</v>
      </c>
      <c r="AV75" s="51">
        <v>775</v>
      </c>
      <c r="AW75" s="51">
        <v>788.8</v>
      </c>
      <c r="AX75" s="51">
        <v>890</v>
      </c>
      <c r="AY75" s="51">
        <v>834.2</v>
      </c>
      <c r="AZ75" s="51">
        <v>854.4</v>
      </c>
      <c r="BA75" s="51">
        <v>844.5</v>
      </c>
      <c r="BB75" s="51">
        <v>953.6</v>
      </c>
      <c r="BC75" s="51">
        <v>877.1</v>
      </c>
      <c r="BD75" s="51">
        <v>951.5</v>
      </c>
      <c r="BE75" s="51">
        <v>953</v>
      </c>
      <c r="BF75" s="51">
        <v>1036.0999999999999</v>
      </c>
      <c r="BG75" s="51">
        <v>947.3</v>
      </c>
      <c r="BH75" s="51">
        <v>1040.4000000000001</v>
      </c>
      <c r="BI75" s="51">
        <v>1122.0999999999999</v>
      </c>
      <c r="BJ75" s="51">
        <v>1216.7</v>
      </c>
      <c r="BK75" s="51">
        <v>1039.0999999999999</v>
      </c>
      <c r="BL75" s="51">
        <v>1187.2</v>
      </c>
      <c r="BM75" s="51">
        <v>1219.8</v>
      </c>
      <c r="BN75" s="51">
        <v>1438.1</v>
      </c>
      <c r="BO75" s="51">
        <v>1124</v>
      </c>
      <c r="BP75" s="51">
        <v>1260.5999999999999</v>
      </c>
      <c r="BQ75" s="51">
        <v>1280.9000000000001</v>
      </c>
      <c r="BR75" s="51">
        <v>1355.3</v>
      </c>
      <c r="BS75" s="51">
        <v>1151.5</v>
      </c>
      <c r="BT75" s="51">
        <v>1320.7</v>
      </c>
      <c r="BU75" s="51">
        <v>1342.8</v>
      </c>
      <c r="BV75" s="51">
        <v>1463.1</v>
      </c>
      <c r="BW75" s="51">
        <v>1348.1</v>
      </c>
      <c r="BX75" s="51">
        <v>1330.4</v>
      </c>
      <c r="BY75" s="51">
        <v>1377.4</v>
      </c>
      <c r="BZ75" s="51">
        <v>1475.4</v>
      </c>
      <c r="CA75" s="51">
        <v>1109.3</v>
      </c>
      <c r="CB75" s="51">
        <v>1195.4000000000001</v>
      </c>
      <c r="CC75" s="51">
        <v>1243.2</v>
      </c>
      <c r="CD75" s="51">
        <v>1185.7</v>
      </c>
      <c r="CE75" s="51">
        <v>1039.3</v>
      </c>
      <c r="CF75" s="51">
        <v>1169.5</v>
      </c>
      <c r="CG75" s="51">
        <v>1143.4000000000001</v>
      </c>
      <c r="CH75" s="51">
        <v>1444.2</v>
      </c>
      <c r="CI75" s="51">
        <v>1221</v>
      </c>
      <c r="CJ75" s="51">
        <v>1335.9</v>
      </c>
      <c r="CK75" s="51">
        <v>1236.4000000000001</v>
      </c>
      <c r="CL75" s="51">
        <v>1450.6</v>
      </c>
      <c r="CM75" s="51">
        <v>1258.3</v>
      </c>
      <c r="CN75" s="51">
        <v>1272.0999999999999</v>
      </c>
      <c r="CO75" s="51">
        <v>1340</v>
      </c>
      <c r="CP75" s="51">
        <v>1486.9</v>
      </c>
      <c r="CQ75" s="51">
        <v>1176.9000000000001</v>
      </c>
      <c r="CR75" s="51">
        <v>1333.1</v>
      </c>
      <c r="CS75" s="51">
        <v>1343.3</v>
      </c>
      <c r="CT75" s="51">
        <v>1453.8</v>
      </c>
      <c r="CU75" s="51">
        <v>1230.5</v>
      </c>
      <c r="CV75" s="51">
        <v>1402.2</v>
      </c>
      <c r="CW75" s="51">
        <v>1380.9</v>
      </c>
      <c r="CX75" s="51">
        <v>1581.4</v>
      </c>
      <c r="CY75" s="51">
        <v>1392.1</v>
      </c>
      <c r="CZ75" s="51">
        <v>1390.2</v>
      </c>
      <c r="DA75" s="51">
        <v>1465.4</v>
      </c>
      <c r="DB75" s="51">
        <v>1838</v>
      </c>
      <c r="DC75" s="51">
        <v>1672.1</v>
      </c>
      <c r="DD75" s="51">
        <v>1672.8</v>
      </c>
      <c r="DE75" s="51">
        <v>1708.9</v>
      </c>
      <c r="DF75" s="51">
        <v>1959.4</v>
      </c>
      <c r="DG75" s="51">
        <v>1610.1</v>
      </c>
      <c r="DH75" s="51">
        <v>1625.1</v>
      </c>
      <c r="DI75" s="51">
        <v>1802.9</v>
      </c>
      <c r="DJ75" s="51">
        <v>1995.9</v>
      </c>
      <c r="DK75" s="51">
        <v>1985.1</v>
      </c>
      <c r="DL75" s="51">
        <v>2356.5</v>
      </c>
      <c r="DM75" s="51">
        <f t="shared" si="148"/>
        <v>1802.9</v>
      </c>
      <c r="DN75" s="51">
        <v>2562.6999999999998</v>
      </c>
      <c r="DO75" s="51">
        <v>2522.8000000000002</v>
      </c>
      <c r="DP75" s="51">
        <f>2711.2-154.3</f>
        <v>2556.8999999999996</v>
      </c>
      <c r="DQ75" s="51">
        <v>2099.8000000000002</v>
      </c>
      <c r="DR75" s="51">
        <f t="shared" si="149"/>
        <v>2818.9700000000003</v>
      </c>
      <c r="DS75" s="51">
        <v>2733.7</v>
      </c>
      <c r="DT75" s="51">
        <f t="shared" si="150"/>
        <v>2812.5899999999997</v>
      </c>
      <c r="DU75" s="51">
        <f t="shared" si="150"/>
        <v>2309.7800000000002</v>
      </c>
      <c r="DV75" s="51">
        <f t="shared" si="150"/>
        <v>3100.8670000000006</v>
      </c>
      <c r="DX75" s="49"/>
      <c r="DY75" s="49"/>
      <c r="DZ75" s="49"/>
      <c r="EA75" s="49"/>
      <c r="EB75" s="49"/>
      <c r="EC75" s="49"/>
      <c r="ED75" s="49"/>
      <c r="EE75" s="49"/>
      <c r="EF75" s="49"/>
      <c r="EG75" s="49"/>
      <c r="EH75" s="49"/>
      <c r="EI75" s="49"/>
      <c r="EJ75" s="49">
        <v>1370.2</v>
      </c>
      <c r="EK75" s="49">
        <v>1738.9</v>
      </c>
      <c r="EL75" s="49">
        <v>1783.6</v>
      </c>
      <c r="EM75" s="49">
        <v>2018.5</v>
      </c>
      <c r="EN75" s="51">
        <v>2235</v>
      </c>
      <c r="EO75" s="51">
        <v>2149</v>
      </c>
      <c r="EP75" s="51">
        <v>2350</v>
      </c>
      <c r="EQ75" s="51">
        <v>2691</v>
      </c>
      <c r="ER75" s="51">
        <v>3026</v>
      </c>
      <c r="ES75" s="51">
        <v>3130</v>
      </c>
      <c r="ET75" s="51">
        <f>ES75*1.02</f>
        <v>3192.6</v>
      </c>
      <c r="EU75" s="51">
        <f>SUM(BC75:BF75)</f>
        <v>3817.7</v>
      </c>
      <c r="EV75" s="51">
        <f>SUM(BG75:BJ75)</f>
        <v>4326.5</v>
      </c>
      <c r="EW75" s="51">
        <f>SUM(BK75:BN75)</f>
        <v>4884.2000000000007</v>
      </c>
      <c r="EX75" s="51">
        <f t="shared" si="151"/>
        <v>5020.8</v>
      </c>
      <c r="EY75" s="51">
        <f>SUM(BS75:BV75)</f>
        <v>5278.1</v>
      </c>
      <c r="EZ75" s="51"/>
      <c r="FA75" s="51"/>
      <c r="FB75" s="51"/>
      <c r="FC75" s="51"/>
      <c r="FD75" s="51">
        <v>5096.2</v>
      </c>
      <c r="FE75" s="51">
        <v>5051.2</v>
      </c>
      <c r="FF75" s="49">
        <f t="shared" si="153"/>
        <v>5595</v>
      </c>
      <c r="FG75" s="49">
        <f t="shared" si="154"/>
        <v>6085.7000000000007</v>
      </c>
      <c r="FH75" s="49">
        <f>SUM(DC75:DF75)</f>
        <v>7013.1999999999989</v>
      </c>
      <c r="FI75" s="49">
        <f>SUM(DG75:DJ75)</f>
        <v>7034</v>
      </c>
      <c r="FJ75" s="49">
        <f>SUM(DK75:DN75)</f>
        <v>8707.2000000000007</v>
      </c>
      <c r="FK75" s="49">
        <f>SUM(DO75:DR75)</f>
        <v>9998.4700000000012</v>
      </c>
      <c r="FL75" s="49">
        <f>+FK75*1.01</f>
        <v>10098.454700000002</v>
      </c>
      <c r="FM75" s="49"/>
      <c r="FN75" s="49"/>
      <c r="FO75" s="49"/>
      <c r="FP75" s="49"/>
      <c r="FQ75" s="49"/>
      <c r="FR75" s="49"/>
      <c r="FS75" s="49"/>
      <c r="FT75" s="49"/>
      <c r="FU75" s="49"/>
      <c r="FV75" s="49"/>
    </row>
    <row r="76" spans="1:178" x14ac:dyDescent="0.25">
      <c r="A76" s="102"/>
      <c r="B76" s="38" t="s">
        <v>250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>
        <f t="shared" ref="BF76:BK76" si="157">BF75+BF74</f>
        <v>2754.7</v>
      </c>
      <c r="BG76" s="51">
        <f t="shared" si="157"/>
        <v>2476.5</v>
      </c>
      <c r="BH76" s="51">
        <f t="shared" si="157"/>
        <v>2748.6000000000004</v>
      </c>
      <c r="BI76" s="51">
        <f t="shared" si="157"/>
        <v>2823.8999999999996</v>
      </c>
      <c r="BJ76" s="51">
        <f t="shared" si="157"/>
        <v>3170</v>
      </c>
      <c r="BK76" s="51">
        <f t="shared" si="157"/>
        <v>2653.5</v>
      </c>
      <c r="BL76" s="51">
        <f t="shared" ref="BL76:BN76" si="158">BL75+BL74</f>
        <v>2942.6000000000004</v>
      </c>
      <c r="BM76" s="51">
        <f t="shared" si="158"/>
        <v>2914.7</v>
      </c>
      <c r="BN76" s="51">
        <f t="shared" si="158"/>
        <v>3426.8</v>
      </c>
      <c r="BO76" s="51">
        <f>BO75+BO74</f>
        <v>2909.7</v>
      </c>
      <c r="BP76" s="51">
        <f>BP75+BP74</f>
        <v>3303.6</v>
      </c>
      <c r="BQ76" s="51">
        <f>BQ75+BQ74</f>
        <v>3198.7</v>
      </c>
      <c r="BR76" s="51">
        <f>BR75+BR74</f>
        <v>3488.7</v>
      </c>
      <c r="BS76" s="51">
        <f>+BS75+BS74</f>
        <v>2999</v>
      </c>
      <c r="BT76" s="51">
        <f>+BT75+BT74</f>
        <v>3251.8</v>
      </c>
      <c r="BU76" s="51">
        <f>+BU75+BU74</f>
        <v>3100.2</v>
      </c>
      <c r="BV76" s="51">
        <f>+BV75+BV74</f>
        <v>3440.6</v>
      </c>
      <c r="BW76" s="51">
        <f t="shared" ref="BW76:BZ76" si="159">+BW75+BW74</f>
        <v>3000.1</v>
      </c>
      <c r="BX76" s="51">
        <f t="shared" si="159"/>
        <v>3198</v>
      </c>
      <c r="BY76" s="51">
        <f t="shared" si="159"/>
        <v>3029.8</v>
      </c>
      <c r="BZ76" s="51">
        <f t="shared" si="159"/>
        <v>3429</v>
      </c>
      <c r="CA76" s="51">
        <f t="shared" ref="CA76" si="160">SUM(CA74:CA75)</f>
        <v>2594.1999999999998</v>
      </c>
      <c r="CB76" s="51">
        <f t="shared" ref="CB76:CC76" si="161">SUM(CB74:CB75)</f>
        <v>2859.3</v>
      </c>
      <c r="CC76" s="51">
        <f t="shared" si="161"/>
        <v>2915.3</v>
      </c>
      <c r="CD76" s="51">
        <f t="shared" ref="CD76" si="162">SUM(CD74:CD75)</f>
        <v>2985.6000000000004</v>
      </c>
      <c r="CE76" s="51">
        <f t="shared" ref="CE76:CF76" si="163">SUM(CE74:CE75)</f>
        <v>2562.8000000000002</v>
      </c>
      <c r="CF76" s="51">
        <f t="shared" si="163"/>
        <v>2804.9</v>
      </c>
      <c r="CG76" s="51">
        <f t="shared" ref="CG76:CI76" si="164">SUM(CG74:CG75)</f>
        <v>2719.1000000000004</v>
      </c>
      <c r="CH76" s="51">
        <f t="shared" si="164"/>
        <v>3242.6000000000004</v>
      </c>
      <c r="CI76" s="51">
        <f t="shared" si="164"/>
        <v>2694.9</v>
      </c>
      <c r="CJ76" s="51">
        <f t="shared" ref="CJ76:CK76" si="165">SUM(CJ74:CJ75)</f>
        <v>2958.5</v>
      </c>
      <c r="CK76" s="51">
        <f t="shared" si="165"/>
        <v>2801.8</v>
      </c>
      <c r="CL76" s="51">
        <f t="shared" ref="CL76:CM76" si="166">SUM(CL74:CL75)</f>
        <v>3240.7</v>
      </c>
      <c r="CM76" s="51">
        <f t="shared" si="166"/>
        <v>2826</v>
      </c>
      <c r="CN76" s="51">
        <f t="shared" ref="CN76" si="167">SUM(CN74:CN75)</f>
        <v>3002.5</v>
      </c>
      <c r="CO76" s="51">
        <f t="shared" ref="CO76:CP76" si="168">SUM(CO74:CO75)</f>
        <v>2918.5</v>
      </c>
      <c r="CP76" s="51">
        <f t="shared" si="168"/>
        <v>3290.4</v>
      </c>
      <c r="CQ76" s="51">
        <f t="shared" ref="CQ76:CR76" si="169">SUM(CQ74:CQ75)</f>
        <v>2676.9</v>
      </c>
      <c r="CR76" s="51">
        <f t="shared" si="169"/>
        <v>2986.8</v>
      </c>
      <c r="CS76" s="51">
        <f t="shared" ref="CS76:CT76" si="170">SUM(CS74:CS75)</f>
        <v>2959.8999999999996</v>
      </c>
      <c r="CT76" s="51">
        <f t="shared" si="170"/>
        <v>3315.3</v>
      </c>
      <c r="CU76" s="51">
        <f t="shared" ref="CU76:DG76" si="171">SUM(CU74:CU75)</f>
        <v>2747.6</v>
      </c>
      <c r="CV76" s="51">
        <f t="shared" si="171"/>
        <v>2988.5</v>
      </c>
      <c r="CW76" s="51">
        <f t="shared" si="171"/>
        <v>2793.2</v>
      </c>
      <c r="CX76" s="51">
        <f t="shared" si="171"/>
        <v>3279.5</v>
      </c>
      <c r="CY76" s="51">
        <f t="shared" si="171"/>
        <v>2941.7</v>
      </c>
      <c r="CZ76" s="51">
        <f t="shared" si="171"/>
        <v>2838.8</v>
      </c>
      <c r="DA76" s="51">
        <f t="shared" si="171"/>
        <v>3034.5</v>
      </c>
      <c r="DB76" s="51">
        <f t="shared" si="171"/>
        <v>3391.9</v>
      </c>
      <c r="DC76" s="51">
        <f t="shared" si="171"/>
        <v>3248.1</v>
      </c>
      <c r="DD76" s="51">
        <f t="shared" si="171"/>
        <v>3358.5</v>
      </c>
      <c r="DE76" s="51">
        <f t="shared" si="171"/>
        <v>3286.8</v>
      </c>
      <c r="DF76" s="51">
        <f t="shared" si="171"/>
        <v>3551.4</v>
      </c>
      <c r="DG76" s="51">
        <f t="shared" si="171"/>
        <v>3168</v>
      </c>
      <c r="DH76" s="51">
        <f t="shared" ref="DH76:DN76" si="172">SUM(DH74:DH75)</f>
        <v>3407</v>
      </c>
      <c r="DI76" s="51">
        <f t="shared" si="172"/>
        <v>3417.1000000000004</v>
      </c>
      <c r="DJ76" s="51">
        <f t="shared" si="172"/>
        <v>3639.1000000000004</v>
      </c>
      <c r="DK76" s="51">
        <f t="shared" si="172"/>
        <v>3734.3</v>
      </c>
      <c r="DL76" s="51">
        <f t="shared" si="172"/>
        <v>4281.8999999999996</v>
      </c>
      <c r="DM76" s="51">
        <f t="shared" si="172"/>
        <v>3417.1000000000004</v>
      </c>
      <c r="DN76" s="51">
        <f t="shared" si="172"/>
        <v>4487.2999999999993</v>
      </c>
      <c r="DO76" s="51">
        <f t="shared" ref="DO76:DR76" si="173">SUM(DO74:DO75)</f>
        <v>4475</v>
      </c>
      <c r="DP76" s="51">
        <f t="shared" si="173"/>
        <v>4674.2</v>
      </c>
      <c r="DQ76" s="51">
        <f t="shared" si="173"/>
        <v>4833.8999999999996</v>
      </c>
      <c r="DR76" s="51">
        <f t="shared" si="173"/>
        <v>4936.0300000000007</v>
      </c>
      <c r="DS76" s="51">
        <f t="shared" ref="DS76:DV76" si="174">SUM(DS74:DS75)</f>
        <v>5202.5</v>
      </c>
      <c r="DT76" s="51">
        <f t="shared" si="174"/>
        <v>5141.62</v>
      </c>
      <c r="DU76" s="51">
        <f t="shared" si="174"/>
        <v>5317.2900000000009</v>
      </c>
      <c r="DV76" s="51">
        <f t="shared" si="174"/>
        <v>5429.6330000000007</v>
      </c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>
        <f t="shared" ref="EJ76" si="175">EJ75+EJ74</f>
        <v>3603.3</v>
      </c>
      <c r="EK76" s="51">
        <f t="shared" ref="EK76:EM76" si="176">EK75+EK74</f>
        <v>4397.2000000000007</v>
      </c>
      <c r="EL76" s="51">
        <f t="shared" si="176"/>
        <v>4541.2</v>
      </c>
      <c r="EM76" s="51">
        <f t="shared" si="176"/>
        <v>5246.8</v>
      </c>
      <c r="EN76" s="51">
        <f t="shared" ref="EN76:ET76" si="177">EN75+EN74</f>
        <v>5652</v>
      </c>
      <c r="EO76" s="51">
        <f t="shared" si="177"/>
        <v>5573</v>
      </c>
      <c r="EP76" s="51">
        <f t="shared" si="177"/>
        <v>6405</v>
      </c>
      <c r="EQ76" s="51">
        <f t="shared" si="177"/>
        <v>6975</v>
      </c>
      <c r="ER76" s="51">
        <f t="shared" si="177"/>
        <v>7523</v>
      </c>
      <c r="ES76" s="51">
        <f t="shared" si="177"/>
        <v>7882</v>
      </c>
      <c r="ET76" s="51">
        <f t="shared" si="177"/>
        <v>8087.16</v>
      </c>
      <c r="EU76" s="51">
        <f>EU75+EU74</f>
        <v>10436.099999999999</v>
      </c>
      <c r="EV76" s="51">
        <f t="shared" ref="EV76:FB76" si="178">EV75+EV74</f>
        <v>11219</v>
      </c>
      <c r="EW76" s="51">
        <f>EW75+EW74</f>
        <v>11937.600000000002</v>
      </c>
      <c r="EX76" s="51">
        <f>EX75+EX74</f>
        <v>12900.7</v>
      </c>
      <c r="EY76" s="51">
        <f>EY75+EY74</f>
        <v>12791.6</v>
      </c>
      <c r="EZ76" s="51">
        <f t="shared" si="178"/>
        <v>7137.8249999999998</v>
      </c>
      <c r="FA76" s="51">
        <f t="shared" si="178"/>
        <v>5710.26</v>
      </c>
      <c r="FB76" s="51">
        <f t="shared" si="178"/>
        <v>0</v>
      </c>
      <c r="FC76" s="51"/>
      <c r="FD76" s="51">
        <f>FD75+FD74</f>
        <v>11078.599999999999</v>
      </c>
      <c r="FE76" s="51">
        <f t="shared" ref="FE76:FF76" si="179">FE75+FE74</f>
        <v>11026.3</v>
      </c>
      <c r="FF76" s="51">
        <f t="shared" si="179"/>
        <v>11808.8</v>
      </c>
      <c r="FG76" s="51">
        <f>FG75+FG74</f>
        <v>12206.9</v>
      </c>
      <c r="FH76" s="51">
        <f>FH75+FH74</f>
        <v>13444.8</v>
      </c>
      <c r="FI76" s="51">
        <f>FI75+FI74</f>
        <v>13631.2</v>
      </c>
      <c r="FJ76" s="51">
        <f>FJ75+FJ74</f>
        <v>15920.6</v>
      </c>
      <c r="FK76" s="51">
        <f>FK75+FK74</f>
        <v>18919.13</v>
      </c>
      <c r="FL76" s="51">
        <f t="shared" ref="FL76" si="180">FL75+FL74</f>
        <v>25028.897450000004</v>
      </c>
      <c r="FM76" s="51">
        <f t="shared" ref="FM76" si="181">FM75+FM74</f>
        <v>18321.030277500002</v>
      </c>
      <c r="FN76" s="51">
        <f t="shared" ref="FN76" si="182">FN75+FN74</f>
        <v>23018.783625275009</v>
      </c>
      <c r="FO76" s="51">
        <f t="shared" ref="FO76" si="183">FO75+FO74</f>
        <v>27490.817948527743</v>
      </c>
      <c r="FP76" s="51">
        <f>FP75+FP74</f>
        <v>30745.351479088033</v>
      </c>
      <c r="FQ76" s="51">
        <f>FQ75+FQ74</f>
        <v>30444.098913439273</v>
      </c>
      <c r="FR76" s="51">
        <f t="shared" ref="FR76:FU76" si="184">FR75+FR74</f>
        <v>30726.213156807138</v>
      </c>
      <c r="FS76" s="51">
        <f t="shared" si="184"/>
        <v>31554.909586043537</v>
      </c>
      <c r="FT76" s="51">
        <f t="shared" si="184"/>
        <v>32651.64616793624</v>
      </c>
      <c r="FU76" s="51">
        <f t="shared" si="184"/>
        <v>33984.537499212282</v>
      </c>
      <c r="FV76" s="51">
        <f>FV75+FV74</f>
        <v>33346.434602446672</v>
      </c>
    </row>
    <row r="77" spans="1:178" x14ac:dyDescent="0.25">
      <c r="A77" s="102"/>
      <c r="B77" s="38" t="s">
        <v>251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>
        <f t="shared" ref="AP77:AY77" si="185">AP73-AP74-AP75</f>
        <v>651.10000000000036</v>
      </c>
      <c r="AQ77" s="51">
        <f t="shared" si="185"/>
        <v>558.43663366336614</v>
      </c>
      <c r="AR77" s="51">
        <f t="shared" si="185"/>
        <v>550.89999999999975</v>
      </c>
      <c r="AS77" s="51">
        <f t="shared" si="185"/>
        <v>676.63333333333367</v>
      </c>
      <c r="AT77" s="51">
        <f t="shared" si="185"/>
        <v>752.20000000000073</v>
      </c>
      <c r="AU77" s="51">
        <f t="shared" si="185"/>
        <v>747.30000000000018</v>
      </c>
      <c r="AV77" s="51">
        <f t="shared" si="185"/>
        <v>774.09999999999991</v>
      </c>
      <c r="AW77" s="51">
        <f t="shared" si="185"/>
        <v>942.50000000000045</v>
      </c>
      <c r="AX77" s="51">
        <f t="shared" si="185"/>
        <v>2301.8000000000006</v>
      </c>
      <c r="AY77" s="51">
        <f t="shared" si="185"/>
        <v>1215.4000000000003</v>
      </c>
      <c r="AZ77" s="51">
        <f t="shared" ref="AZ77:BE77" si="186">AZ73-AZ74-AZ75</f>
        <v>815.80000000000007</v>
      </c>
      <c r="BA77" s="51">
        <f t="shared" si="186"/>
        <v>2522.3999999999987</v>
      </c>
      <c r="BB77" s="51">
        <f t="shared" si="186"/>
        <v>2683.5000000000005</v>
      </c>
      <c r="BC77" s="51">
        <f t="shared" si="186"/>
        <v>2702.900000000001</v>
      </c>
      <c r="BD77" s="51">
        <f t="shared" si="186"/>
        <v>2850.9999999999986</v>
      </c>
      <c r="BE77" s="51">
        <f t="shared" si="186"/>
        <v>3039.5000000000009</v>
      </c>
      <c r="BF77" s="51">
        <f t="shared" ref="BF77:BK77" si="187">BF73-BF76</f>
        <v>1556.1999999999998</v>
      </c>
      <c r="BG77" s="51">
        <f t="shared" si="187"/>
        <v>1598.9</v>
      </c>
      <c r="BH77" s="51">
        <f t="shared" si="187"/>
        <v>1417.5</v>
      </c>
      <c r="BI77" s="51">
        <f t="shared" si="187"/>
        <v>1686.2000000000007</v>
      </c>
      <c r="BJ77" s="51">
        <f t="shared" si="187"/>
        <v>1332.6999999999998</v>
      </c>
      <c r="BK77" s="51">
        <f t="shared" si="187"/>
        <v>1709.5</v>
      </c>
      <c r="BL77" s="51">
        <f t="shared" ref="BL77:BN77" si="188">BL73-BL76</f>
        <v>1782.1999999999998</v>
      </c>
      <c r="BM77" s="51">
        <f t="shared" si="188"/>
        <v>1752.5</v>
      </c>
      <c r="BN77" s="51">
        <f t="shared" si="188"/>
        <v>1528.2000000000007</v>
      </c>
      <c r="BO77" s="51">
        <f>BO73-BO76</f>
        <v>1749.4000000000005</v>
      </c>
      <c r="BP77" s="51">
        <f>BP73-BP76</f>
        <v>1721.1999999999985</v>
      </c>
      <c r="BQ77" s="51">
        <f>BQ73-BQ76</f>
        <v>1611.3000000000002</v>
      </c>
      <c r="BR77" s="51">
        <f>BR73-BR76</f>
        <v>1236.9000000000005</v>
      </c>
      <c r="BS77" s="51">
        <f>+BS73-BS76</f>
        <v>1405.5</v>
      </c>
      <c r="BT77" s="51">
        <f>+BT73-BT76</f>
        <v>1201.9999999999991</v>
      </c>
      <c r="BU77" s="51">
        <f>+BU73-BU76</f>
        <v>1138.6999999999998</v>
      </c>
      <c r="BV77" s="51">
        <f>+BV73-BV76</f>
        <v>1268.4000000000001</v>
      </c>
      <c r="BW77" s="51">
        <f t="shared" ref="BW77:BZ77" si="189">+BW73-BW76</f>
        <v>1443.6</v>
      </c>
      <c r="BX77" s="51">
        <f t="shared" si="189"/>
        <v>1566.5</v>
      </c>
      <c r="BY77" s="51">
        <f t="shared" si="189"/>
        <v>1544.6999999999998</v>
      </c>
      <c r="BZ77" s="51">
        <f t="shared" si="189"/>
        <v>993.30000000000018</v>
      </c>
      <c r="CA77" s="51">
        <f t="shared" ref="CA77" si="190">CA73-CA76</f>
        <v>866.20000000000073</v>
      </c>
      <c r="CB77" s="51">
        <f t="shared" ref="CB77:CC77" si="191">CB73-CB76</f>
        <v>886.60000000000036</v>
      </c>
      <c r="CC77" s="51">
        <f t="shared" si="191"/>
        <v>693.30000000000018</v>
      </c>
      <c r="CD77" s="51">
        <f t="shared" ref="CD77" si="192">CD73-CD76</f>
        <v>882.59999999999991</v>
      </c>
      <c r="CE77" s="51">
        <f t="shared" ref="CE77:CF77" si="193">CE73-CE76</f>
        <v>889.19999999999982</v>
      </c>
      <c r="CF77" s="51">
        <f t="shared" si="193"/>
        <v>1139.8999999999996</v>
      </c>
      <c r="CG77" s="51">
        <f t="shared" ref="CG77:CI77" si="194">CG73-CG76</f>
        <v>1003.6999999999994</v>
      </c>
      <c r="CH77" s="51">
        <f t="shared" si="194"/>
        <v>743.80000000000018</v>
      </c>
      <c r="CI77" s="51">
        <f t="shared" si="194"/>
        <v>847.20000000000027</v>
      </c>
      <c r="CJ77" s="51">
        <f t="shared" ref="CJ77:CK77" si="195">CJ73-CJ76</f>
        <v>1147.8999999999996</v>
      </c>
      <c r="CK77" s="51">
        <f t="shared" si="195"/>
        <v>988.99999999999955</v>
      </c>
      <c r="CL77" s="51">
        <f t="shared" ref="CL77:CM77" si="196">CL73-CL76</f>
        <v>1053.8000000000002</v>
      </c>
      <c r="CM77" s="51">
        <f t="shared" si="196"/>
        <v>1054.4000000000001</v>
      </c>
      <c r="CN77" s="51">
        <f t="shared" ref="CN77" si="197">CN73-CN76</f>
        <v>1250.1000000000004</v>
      </c>
      <c r="CO77" s="51">
        <f t="shared" ref="CO77:CP77" si="198">CO73-CO76</f>
        <v>1153.1999999999998</v>
      </c>
      <c r="CP77" s="51">
        <f t="shared" si="198"/>
        <v>1225.3999999999992</v>
      </c>
      <c r="CQ77" s="51">
        <f t="shared" ref="CQ77:CR77" si="199">CQ73-CQ76</f>
        <v>715.59999999999991</v>
      </c>
      <c r="CR77" s="51">
        <f t="shared" si="199"/>
        <v>1665.6999999999998</v>
      </c>
      <c r="CS77" s="51">
        <f t="shared" ref="CS77:CT77" si="200">CS73-CS76</f>
        <v>1539.6999999999998</v>
      </c>
      <c r="CT77" s="51">
        <f t="shared" si="200"/>
        <v>1529.6000000000004</v>
      </c>
      <c r="CU77" s="51">
        <f t="shared" ref="CU77:DG77" si="201">CU73-CU76</f>
        <v>1333.9999999999977</v>
      </c>
      <c r="CV77" s="51">
        <f t="shared" si="201"/>
        <v>1575.0000000000009</v>
      </c>
      <c r="CW77" s="51">
        <f t="shared" si="201"/>
        <v>1565.0000000000009</v>
      </c>
      <c r="CX77" s="51">
        <f t="shared" si="201"/>
        <v>1604.8999999999996</v>
      </c>
      <c r="CY77" s="51">
        <f t="shared" si="201"/>
        <v>1761.5999999999976</v>
      </c>
      <c r="CZ77" s="51">
        <f t="shared" si="201"/>
        <v>1541.3999999999987</v>
      </c>
      <c r="DA77" s="51">
        <f t="shared" si="201"/>
        <v>1506.1999999999989</v>
      </c>
      <c r="DB77" s="51">
        <f t="shared" si="201"/>
        <v>2328.3999999999992</v>
      </c>
      <c r="DC77" s="51">
        <f t="shared" si="201"/>
        <v>1886.1000000000008</v>
      </c>
      <c r="DD77" s="51">
        <f t="shared" si="201"/>
        <v>1983.4999999999973</v>
      </c>
      <c r="DE77" s="51">
        <f t="shared" si="201"/>
        <v>2064.3999999999978</v>
      </c>
      <c r="DF77" s="51">
        <f t="shared" si="201"/>
        <v>2398.2999999999997</v>
      </c>
      <c r="DG77" s="51">
        <f t="shared" si="201"/>
        <v>2774.5999999999995</v>
      </c>
      <c r="DH77" s="51">
        <f t="shared" ref="DH77:DN77" si="202">DH73-DH76</f>
        <v>1771.7000000000016</v>
      </c>
      <c r="DI77" s="51">
        <f t="shared" si="202"/>
        <v>1945.2999999999993</v>
      </c>
      <c r="DJ77" s="51">
        <f t="shared" si="202"/>
        <v>2238.8000000000011</v>
      </c>
      <c r="DK77" s="51">
        <f t="shared" si="202"/>
        <v>1724.9999999999991</v>
      </c>
      <c r="DL77" s="51">
        <f t="shared" si="202"/>
        <v>1770.2999999999993</v>
      </c>
      <c r="DM77" s="51">
        <f t="shared" si="202"/>
        <v>2926.5999999999976</v>
      </c>
      <c r="DN77" s="51">
        <f t="shared" si="202"/>
        <v>3320.0000000000018</v>
      </c>
      <c r="DO77" s="51">
        <f t="shared" ref="DO77:DR77" si="203">DO73-DO76</f>
        <v>2758.8999999999996</v>
      </c>
      <c r="DP77" s="51">
        <f t="shared" si="203"/>
        <v>4597.3999999999987</v>
      </c>
      <c r="DQ77" s="51">
        <f t="shared" si="203"/>
        <v>4573.9000000000051</v>
      </c>
      <c r="DR77" s="51">
        <f t="shared" si="203"/>
        <v>6215.7341000000015</v>
      </c>
      <c r="DS77" s="51">
        <f t="shared" ref="DS77:DV77" si="204">DS73-DS76</f>
        <v>5301.5</v>
      </c>
      <c r="DT77" s="51">
        <f t="shared" si="204"/>
        <v>6644.3903000000037</v>
      </c>
      <c r="DU77" s="51">
        <f t="shared" si="204"/>
        <v>7208.096400000004</v>
      </c>
      <c r="DV77" s="51">
        <f t="shared" si="204"/>
        <v>8323.7628100000038</v>
      </c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>
        <f t="shared" ref="EJ77" si="205">EJ73-EJ74-EJ75</f>
        <v>2438.3999999999996</v>
      </c>
      <c r="EK77" s="51">
        <f t="shared" ref="EK77:EM77" si="206">EK73-EK74-EK75</f>
        <v>2824.4999999999986</v>
      </c>
      <c r="EL77" s="51">
        <f t="shared" si="206"/>
        <v>3363.6999999999994</v>
      </c>
      <c r="EM77" s="51">
        <f t="shared" si="206"/>
        <v>3559.7</v>
      </c>
      <c r="EN77" s="51">
        <f t="shared" ref="EN77:EV77" si="207">EN73-EN74-EN75</f>
        <v>3817</v>
      </c>
      <c r="EO77" s="51">
        <f t="shared" si="207"/>
        <v>3406.2000000000007</v>
      </c>
      <c r="EP77" s="51">
        <f t="shared" si="207"/>
        <v>3505</v>
      </c>
      <c r="EQ77" s="51">
        <f t="shared" si="207"/>
        <v>3660</v>
      </c>
      <c r="ER77" s="51">
        <f t="shared" si="207"/>
        <v>3653</v>
      </c>
      <c r="ES77" s="51">
        <f t="shared" si="207"/>
        <v>4400.4999999999982</v>
      </c>
      <c r="ET77" s="51">
        <f t="shared" si="207"/>
        <v>6393.6959999999981</v>
      </c>
      <c r="EU77" s="51">
        <f>EU73-EU74-EU75</f>
        <v>10149.599999999999</v>
      </c>
      <c r="EV77" s="51">
        <f t="shared" si="207"/>
        <v>6035.2999999999993</v>
      </c>
      <c r="EW77" s="51">
        <f>EW73-EW74-EW75</f>
        <v>5589.9999999999964</v>
      </c>
      <c r="EX77" s="51">
        <f>EX73-EX74-EX75</f>
        <v>5908.7000000000016</v>
      </c>
      <c r="EY77" s="51">
        <f>EY73-EY74-EY75</f>
        <v>4413.3999999999996</v>
      </c>
      <c r="EZ77" s="51">
        <f t="shared" ref="EZ77:FB77" si="208">EZ73-EZ74-EZ75</f>
        <v>-7137.8249999999998</v>
      </c>
      <c r="FA77" s="51">
        <f t="shared" si="208"/>
        <v>-5710.26</v>
      </c>
      <c r="FB77" s="51">
        <f t="shared" si="208"/>
        <v>0</v>
      </c>
      <c r="FC77" s="51"/>
      <c r="FD77" s="51">
        <f t="shared" ref="FD77:FF77" si="209">+FD73-FD76</f>
        <v>4447.9000000000051</v>
      </c>
      <c r="FE77" s="51">
        <f t="shared" si="209"/>
        <v>5785.0999999999985</v>
      </c>
      <c r="FF77" s="51">
        <f t="shared" si="209"/>
        <v>6078.8999999999978</v>
      </c>
      <c r="FG77" s="51">
        <f>+FG73-FG76</f>
        <v>7137.6</v>
      </c>
      <c r="FH77" s="51">
        <f>+FH73-FH76</f>
        <v>8332.2999999999993</v>
      </c>
      <c r="FI77" s="51">
        <f>+FI73-FI76</f>
        <v>8730.4000000000051</v>
      </c>
      <c r="FJ77" s="51">
        <f>+FJ73-FJ76</f>
        <v>9613.7000000000025</v>
      </c>
      <c r="FK77" s="51">
        <f>+FK73-FK76</f>
        <v>18033.434099999988</v>
      </c>
      <c r="FL77" s="51">
        <f t="shared" ref="FL77" si="210">+FL73-FL76</f>
        <v>22151.301640000012</v>
      </c>
      <c r="FM77" s="51">
        <f t="shared" ref="FM77" si="211">+FM73-FM76</f>
        <v>39573.42539940001</v>
      </c>
      <c r="FN77" s="51">
        <f t="shared" ref="FN77" si="212">+FN73-FN76</f>
        <v>49720.572630594019</v>
      </c>
      <c r="FO77" s="51">
        <f t="shared" ref="FO77" si="213">+FO73-FO76</f>
        <v>59380.16676881993</v>
      </c>
      <c r="FP77" s="51">
        <f>+FP73-FP76</f>
        <v>66409.959194830153</v>
      </c>
      <c r="FQ77" s="51">
        <f>+FQ73-FQ76</f>
        <v>73065.837392254252</v>
      </c>
      <c r="FR77" s="51">
        <f t="shared" ref="FR77:FU77" si="214">+FR73-FR76</f>
        <v>73742.911576337137</v>
      </c>
      <c r="FS77" s="51">
        <f t="shared" si="214"/>
        <v>75731.783006504484</v>
      </c>
      <c r="FT77" s="51">
        <f t="shared" si="214"/>
        <v>78363.950803046973</v>
      </c>
      <c r="FU77" s="51">
        <f t="shared" si="214"/>
        <v>81562.889998109473</v>
      </c>
      <c r="FV77" s="51">
        <f>+FV73-FV76</f>
        <v>80031.443045872002</v>
      </c>
    </row>
    <row r="78" spans="1:178" x14ac:dyDescent="0.25">
      <c r="A78" s="102"/>
      <c r="B78" t="s">
        <v>78</v>
      </c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>
        <v>69.099999999999994</v>
      </c>
      <c r="AQ78" s="51">
        <v>99</v>
      </c>
      <c r="AR78" s="51">
        <v>45.4</v>
      </c>
      <c r="AS78" s="51">
        <v>85</v>
      </c>
      <c r="AT78" s="51">
        <v>85.2</v>
      </c>
      <c r="AU78" s="51">
        <v>32</v>
      </c>
      <c r="AV78" s="51">
        <v>47</v>
      </c>
      <c r="AW78" s="51">
        <v>-4.8</v>
      </c>
      <c r="AX78" s="51">
        <v>38.9</v>
      </c>
      <c r="AY78" s="51">
        <v>38.299999999999997</v>
      </c>
      <c r="AZ78" s="51">
        <v>1.8</v>
      </c>
      <c r="BA78" s="51">
        <v>49.8</v>
      </c>
      <c r="BB78" s="51">
        <v>32.1</v>
      </c>
      <c r="BC78" s="51">
        <v>20.3</v>
      </c>
      <c r="BD78" s="51">
        <v>32.299999999999997</v>
      </c>
      <c r="BE78" s="51">
        <v>2.5</v>
      </c>
      <c r="BF78" s="51">
        <v>-48.2</v>
      </c>
      <c r="BG78" s="51">
        <v>-70.7</v>
      </c>
      <c r="BH78" s="51">
        <v>-24.1</v>
      </c>
      <c r="BI78" s="51">
        <f>-44-22.9</f>
        <v>-66.900000000000006</v>
      </c>
      <c r="BJ78" s="51">
        <v>-67.8</v>
      </c>
      <c r="BK78" s="51">
        <v>74.5</v>
      </c>
      <c r="BL78" s="51">
        <f>-36.5+18.1-18.4</f>
        <v>-36.799999999999997</v>
      </c>
      <c r="BM78" s="51">
        <f>-30.9+9.2-21.7</f>
        <v>-43.4</v>
      </c>
      <c r="BN78" s="51">
        <v>-39.4</v>
      </c>
      <c r="BO78" s="51">
        <v>-11.2</v>
      </c>
      <c r="BP78" s="51">
        <v>-57.6</v>
      </c>
      <c r="BQ78" s="51">
        <f>-22.8-60.6</f>
        <v>-83.4</v>
      </c>
      <c r="BR78" s="51">
        <v>-26.8</v>
      </c>
      <c r="BS78" s="51">
        <f>-19.2-26.8</f>
        <v>-46</v>
      </c>
      <c r="BT78" s="51">
        <f>-15.8-0.7</f>
        <v>-16.5</v>
      </c>
      <c r="BU78" s="51">
        <f>-21.3+22</f>
        <v>0.69999999999999929</v>
      </c>
      <c r="BV78" s="51">
        <v>-52</v>
      </c>
      <c r="BW78" s="51">
        <f>-16.7+50.5</f>
        <v>33.799999999999997</v>
      </c>
      <c r="BX78" s="51">
        <v>11.9</v>
      </c>
      <c r="BY78" s="51">
        <v>-31.3</v>
      </c>
      <c r="BZ78" s="51">
        <v>9.1</v>
      </c>
      <c r="CA78" s="51">
        <v>56</v>
      </c>
      <c r="CB78" s="51">
        <v>53.8</v>
      </c>
      <c r="CC78" s="51">
        <v>93.5</v>
      </c>
      <c r="CD78" s="51">
        <v>137.19999999999999</v>
      </c>
      <c r="CE78" s="51">
        <v>92.7</v>
      </c>
      <c r="CF78" s="51">
        <v>-123.3</v>
      </c>
      <c r="CG78" s="51">
        <v>86.5</v>
      </c>
      <c r="CH78" s="51">
        <v>44.7</v>
      </c>
      <c r="CI78" s="51">
        <v>-149</v>
      </c>
      <c r="CJ78" s="51">
        <v>21.2</v>
      </c>
      <c r="CK78" s="51">
        <v>27.2</v>
      </c>
      <c r="CL78" s="51">
        <v>15.8</v>
      </c>
      <c r="CM78" s="51">
        <v>78.3</v>
      </c>
      <c r="CN78" s="51">
        <v>60.4</v>
      </c>
      <c r="CO78" s="51">
        <f>-16.8+66.7</f>
        <v>49.900000000000006</v>
      </c>
      <c r="CP78" s="51">
        <f>-10.2+122.1</f>
        <v>111.89999999999999</v>
      </c>
      <c r="CQ78" s="51">
        <v>67.5</v>
      </c>
      <c r="CR78" s="51">
        <v>38</v>
      </c>
      <c r="CS78" s="51">
        <f>-37.3+21.9</f>
        <v>-15.399999999999999</v>
      </c>
      <c r="CT78" s="51">
        <f>-35.7+20.4</f>
        <v>-15.300000000000004</v>
      </c>
      <c r="CU78" s="51">
        <v>55.9</v>
      </c>
      <c r="CV78" s="51">
        <v>91.5</v>
      </c>
      <c r="CW78" s="51">
        <v>90.1</v>
      </c>
      <c r="CX78" s="51">
        <v>82.7</v>
      </c>
      <c r="CY78" s="51">
        <v>78.2</v>
      </c>
      <c r="CZ78" s="51">
        <v>81.2</v>
      </c>
      <c r="DA78" s="51">
        <v>83.8</v>
      </c>
      <c r="DB78" s="51">
        <v>83.4</v>
      </c>
      <c r="DC78" s="51">
        <v>-34.6</v>
      </c>
      <c r="DD78" s="51">
        <v>81.5</v>
      </c>
      <c r="DE78" s="51">
        <v>77.599999999999994</v>
      </c>
      <c r="DF78" s="51">
        <v>77.3</v>
      </c>
      <c r="DG78" s="51">
        <v>-37.700000000000003</v>
      </c>
      <c r="DH78" s="51">
        <f>-71-48.2</f>
        <v>-119.2</v>
      </c>
      <c r="DI78" s="51">
        <v>111</v>
      </c>
      <c r="DJ78" s="51">
        <f>260-216.5</f>
        <v>43.5</v>
      </c>
      <c r="DK78" s="51">
        <f>-68.6+104.3</f>
        <v>35.700000000000003</v>
      </c>
      <c r="DL78" s="51">
        <v>-36.799999999999997</v>
      </c>
      <c r="DM78" s="51">
        <v>0</v>
      </c>
      <c r="DN78" s="51">
        <f>121-117</f>
        <v>4</v>
      </c>
      <c r="DO78" s="51">
        <f>-133.8+160.9+27.1</f>
        <v>54.199999999999996</v>
      </c>
      <c r="DP78" s="51">
        <v>197.6</v>
      </c>
      <c r="DQ78" s="51">
        <v>-62</v>
      </c>
      <c r="DR78" s="51"/>
      <c r="DS78" s="51"/>
      <c r="DT78" s="51"/>
      <c r="DU78" s="51"/>
      <c r="DV78" s="51"/>
      <c r="DX78" s="49"/>
      <c r="DY78" s="49"/>
      <c r="DZ78" s="49"/>
      <c r="EA78" s="49"/>
      <c r="EB78" s="49"/>
      <c r="EC78" s="49"/>
      <c r="ED78" s="49"/>
      <c r="EE78" s="49"/>
      <c r="EF78" s="49"/>
      <c r="EG78" s="49"/>
      <c r="EH78" s="49"/>
      <c r="EI78" s="49"/>
      <c r="EJ78" s="49">
        <v>-232.7</v>
      </c>
      <c r="EK78" s="49">
        <v>-181.3</v>
      </c>
      <c r="EL78" s="49">
        <v>-183.8</v>
      </c>
      <c r="EM78" s="49">
        <v>-182.3</v>
      </c>
      <c r="EN78" s="51">
        <v>134</v>
      </c>
      <c r="EO78" s="51">
        <v>214</v>
      </c>
      <c r="EP78" s="51">
        <v>85</v>
      </c>
      <c r="EQ78" s="51">
        <v>279</v>
      </c>
      <c r="ER78" s="51">
        <v>313</v>
      </c>
      <c r="ES78" s="51">
        <v>201</v>
      </c>
      <c r="ET78" s="51">
        <v>100</v>
      </c>
      <c r="EU78" s="51">
        <f>SUM(BC78:BF78)</f>
        <v>6.8999999999999915</v>
      </c>
      <c r="EV78" s="51">
        <f>SUM(BG78:BJ78)</f>
        <v>-229.5</v>
      </c>
      <c r="EW78" s="51">
        <f>SUM(BK78:BN78)</f>
        <v>-45.099999999999994</v>
      </c>
      <c r="EX78" s="51">
        <f t="shared" ref="EX78" si="215">SUM(BO78:BR78)</f>
        <v>-179</v>
      </c>
      <c r="EY78" s="51">
        <f>SUM(BS78:BV78)</f>
        <v>-113.8</v>
      </c>
      <c r="EZ78" s="51"/>
      <c r="FA78" s="51"/>
      <c r="FB78" s="51"/>
      <c r="FC78" s="51"/>
      <c r="FD78" s="51"/>
      <c r="FE78" s="53"/>
      <c r="FF78" s="49">
        <f t="shared" ref="FF78" si="216">SUM(CU78:CX78)</f>
        <v>320.2</v>
      </c>
      <c r="FG78" s="49">
        <f t="shared" ref="FG78" si="217">SUM(CY78:DB78)</f>
        <v>326.60000000000002</v>
      </c>
      <c r="FH78" s="49">
        <f>SUM(DC78:DF78)</f>
        <v>201.8</v>
      </c>
      <c r="FI78" s="49">
        <f>SUM(DG78:DJ78)</f>
        <v>-2.4000000000000057</v>
      </c>
      <c r="FJ78" s="49">
        <f>SUM(DK78:DN78)</f>
        <v>2.9000000000000057</v>
      </c>
      <c r="FK78" s="49">
        <v>-450</v>
      </c>
      <c r="FL78" s="49">
        <f t="shared" ref="FL78:FQ78" si="218">+FK99*$FY$97</f>
        <v>-82.47293348000025</v>
      </c>
      <c r="FM78" s="49">
        <f t="shared" si="218"/>
        <v>270.62832582431997</v>
      </c>
      <c r="FN78" s="49">
        <f t="shared" si="218"/>
        <v>908.13318542790921</v>
      </c>
      <c r="FO78" s="49">
        <f t="shared" si="218"/>
        <v>1718.1924784842599</v>
      </c>
      <c r="FP78" s="49">
        <f t="shared" si="218"/>
        <v>2695.7662264411269</v>
      </c>
      <c r="FQ78" s="49">
        <f t="shared" si="218"/>
        <v>3801.4578331814673</v>
      </c>
      <c r="FR78" s="49">
        <f t="shared" ref="FR78:FU78" si="219">+FQ99*$FY$97</f>
        <v>5031.3345567884389</v>
      </c>
      <c r="FS78" s="49">
        <f t="shared" si="219"/>
        <v>6291.7224949184483</v>
      </c>
      <c r="FT78" s="49">
        <f t="shared" si="219"/>
        <v>7604.0985829412148</v>
      </c>
      <c r="FU78" s="49">
        <f t="shared" si="219"/>
        <v>8979.5873731170268</v>
      </c>
      <c r="FV78" s="49">
        <f>+FU99*$FY$97</f>
        <v>10428.267011056651</v>
      </c>
    </row>
    <row r="79" spans="1:178" x14ac:dyDescent="0.25">
      <c r="A79" s="102"/>
      <c r="B79" t="s">
        <v>81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>
        <f t="shared" ref="AP79:AY79" si="220">AP77+AP78</f>
        <v>720.20000000000039</v>
      </c>
      <c r="AQ79" s="51">
        <f t="shared" si="220"/>
        <v>657.43663366336614</v>
      </c>
      <c r="AR79" s="51">
        <f t="shared" si="220"/>
        <v>596.29999999999973</v>
      </c>
      <c r="AS79" s="51">
        <f t="shared" si="220"/>
        <v>761.63333333333367</v>
      </c>
      <c r="AT79" s="51">
        <f t="shared" si="220"/>
        <v>837.40000000000077</v>
      </c>
      <c r="AU79" s="51">
        <f t="shared" si="220"/>
        <v>779.30000000000018</v>
      </c>
      <c r="AV79" s="51">
        <f t="shared" si="220"/>
        <v>821.09999999999991</v>
      </c>
      <c r="AW79" s="51">
        <f t="shared" si="220"/>
        <v>937.7000000000005</v>
      </c>
      <c r="AX79" s="51">
        <f t="shared" si="220"/>
        <v>2340.7000000000007</v>
      </c>
      <c r="AY79" s="51">
        <f t="shared" si="220"/>
        <v>1253.7000000000003</v>
      </c>
      <c r="AZ79" s="51">
        <f t="shared" ref="AZ79:BG79" si="221">AZ77+AZ78</f>
        <v>817.6</v>
      </c>
      <c r="BA79" s="51">
        <f t="shared" si="221"/>
        <v>2572.1999999999989</v>
      </c>
      <c r="BB79" s="51">
        <f t="shared" si="221"/>
        <v>2715.6000000000004</v>
      </c>
      <c r="BC79" s="51">
        <f t="shared" si="221"/>
        <v>2723.2000000000012</v>
      </c>
      <c r="BD79" s="51">
        <f t="shared" si="221"/>
        <v>2883.2999999999988</v>
      </c>
      <c r="BE79" s="51">
        <f t="shared" si="221"/>
        <v>3042.0000000000009</v>
      </c>
      <c r="BF79" s="51">
        <f t="shared" si="221"/>
        <v>1507.9999999999998</v>
      </c>
      <c r="BG79" s="51">
        <f t="shared" si="221"/>
        <v>1528.2</v>
      </c>
      <c r="BH79" s="51">
        <f t="shared" ref="BH79:BM79" si="222">BH77+BH78</f>
        <v>1393.4</v>
      </c>
      <c r="BI79" s="51">
        <f t="shared" si="222"/>
        <v>1619.3000000000006</v>
      </c>
      <c r="BJ79" s="51">
        <f t="shared" si="222"/>
        <v>1264.8999999999999</v>
      </c>
      <c r="BK79" s="51">
        <f t="shared" si="222"/>
        <v>1784</v>
      </c>
      <c r="BL79" s="51">
        <f t="shared" si="222"/>
        <v>1745.3999999999999</v>
      </c>
      <c r="BM79" s="51">
        <f t="shared" si="222"/>
        <v>1709.1</v>
      </c>
      <c r="BN79" s="51">
        <f>BN77+BN78</f>
        <v>1488.8000000000006</v>
      </c>
      <c r="BO79" s="51">
        <f>BO77+BO78</f>
        <v>1738.2000000000005</v>
      </c>
      <c r="BP79" s="51">
        <f>BP77+BP78</f>
        <v>1663.5999999999985</v>
      </c>
      <c r="BQ79" s="51">
        <f>BQ77+BQ78</f>
        <v>1527.9</v>
      </c>
      <c r="BR79" s="51">
        <f>BR77+BR78</f>
        <v>1210.1000000000006</v>
      </c>
      <c r="BS79" s="51">
        <f>+BS77+BS78</f>
        <v>1359.5</v>
      </c>
      <c r="BT79" s="51">
        <f>+BT77+BT78</f>
        <v>1185.4999999999991</v>
      </c>
      <c r="BU79" s="51">
        <f>+BU77+BU78</f>
        <v>1139.3999999999999</v>
      </c>
      <c r="BV79" s="51">
        <f>+BV77+BV78</f>
        <v>1216.4000000000001</v>
      </c>
      <c r="BW79" s="51">
        <f t="shared" ref="BW79:BY79" si="223">+BW77+BW78</f>
        <v>1477.3999999999999</v>
      </c>
      <c r="BX79" s="51">
        <f t="shared" si="223"/>
        <v>1578.4</v>
      </c>
      <c r="BY79" s="51">
        <f t="shared" si="223"/>
        <v>1513.3999999999999</v>
      </c>
      <c r="BZ79" s="51">
        <f>+BZ77+BZ78</f>
        <v>1002.4000000000002</v>
      </c>
      <c r="CA79" s="51">
        <f t="shared" ref="CA79" si="224">CA77-CA78</f>
        <v>810.20000000000073</v>
      </c>
      <c r="CB79" s="51">
        <f t="shared" ref="CB79:CC79" si="225">CB77-CB78</f>
        <v>832.80000000000041</v>
      </c>
      <c r="CC79" s="51">
        <f t="shared" si="225"/>
        <v>599.80000000000018</v>
      </c>
      <c r="CD79" s="51">
        <f t="shared" ref="CD79" si="226">CD77-CD78</f>
        <v>745.39999999999986</v>
      </c>
      <c r="CE79" s="51">
        <f t="shared" ref="CE79:CF79" si="227">CE77-CE78</f>
        <v>796.49999999999977</v>
      </c>
      <c r="CF79" s="51">
        <f t="shared" si="227"/>
        <v>1263.1999999999996</v>
      </c>
      <c r="CG79" s="51">
        <f t="shared" ref="CG79:CI79" si="228">CG77-CG78</f>
        <v>917.19999999999936</v>
      </c>
      <c r="CH79" s="51">
        <f t="shared" si="228"/>
        <v>699.10000000000014</v>
      </c>
      <c r="CI79" s="51">
        <f t="shared" si="228"/>
        <v>996.20000000000027</v>
      </c>
      <c r="CJ79" s="51">
        <f t="shared" ref="CJ79:CK79" si="229">CJ77-CJ78</f>
        <v>1126.6999999999996</v>
      </c>
      <c r="CK79" s="51">
        <f t="shared" si="229"/>
        <v>961.7999999999995</v>
      </c>
      <c r="CL79" s="51">
        <f t="shared" ref="CL79:CM79" si="230">CL77-CL78</f>
        <v>1038.0000000000002</v>
      </c>
      <c r="CM79" s="51">
        <f t="shared" si="230"/>
        <v>976.10000000000014</v>
      </c>
      <c r="CN79" s="51">
        <f t="shared" ref="CN79:CP79" si="231">CN77-CN78</f>
        <v>1189.7000000000003</v>
      </c>
      <c r="CO79" s="51">
        <f t="shared" si="231"/>
        <v>1103.2999999999997</v>
      </c>
      <c r="CP79" s="51">
        <f t="shared" si="231"/>
        <v>1113.4999999999991</v>
      </c>
      <c r="CQ79" s="51">
        <f t="shared" ref="CQ79:CR79" si="232">CQ77-CQ78</f>
        <v>648.09999999999991</v>
      </c>
      <c r="CR79" s="51">
        <f t="shared" si="232"/>
        <v>1627.6999999999998</v>
      </c>
      <c r="CS79" s="51">
        <f t="shared" ref="CS79:CT79" si="233">CS77-CS78</f>
        <v>1555.1</v>
      </c>
      <c r="CT79" s="51">
        <f t="shared" si="233"/>
        <v>1544.9000000000003</v>
      </c>
      <c r="CU79" s="51">
        <f t="shared" ref="CU79:DV79" si="234">CU77-CU78</f>
        <v>1278.0999999999976</v>
      </c>
      <c r="CV79" s="51">
        <f t="shared" si="234"/>
        <v>1483.5000000000009</v>
      </c>
      <c r="CW79" s="51">
        <f t="shared" si="234"/>
        <v>1474.900000000001</v>
      </c>
      <c r="CX79" s="51">
        <f t="shared" si="234"/>
        <v>1522.1999999999996</v>
      </c>
      <c r="CY79" s="51">
        <f t="shared" si="234"/>
        <v>1683.3999999999976</v>
      </c>
      <c r="CZ79" s="51">
        <f t="shared" si="234"/>
        <v>1460.1999999999987</v>
      </c>
      <c r="DA79" s="51">
        <f t="shared" si="234"/>
        <v>1422.399999999999</v>
      </c>
      <c r="DB79" s="51">
        <f t="shared" si="234"/>
        <v>2244.9999999999991</v>
      </c>
      <c r="DC79" s="51">
        <f t="shared" si="234"/>
        <v>1920.7000000000007</v>
      </c>
      <c r="DD79" s="51">
        <f t="shared" si="234"/>
        <v>1901.9999999999973</v>
      </c>
      <c r="DE79" s="51">
        <f t="shared" si="234"/>
        <v>1986.7999999999979</v>
      </c>
      <c r="DF79" s="51">
        <f t="shared" si="234"/>
        <v>2320.9999999999995</v>
      </c>
      <c r="DG79" s="51">
        <f t="shared" si="234"/>
        <v>2812.2999999999993</v>
      </c>
      <c r="DH79" s="51">
        <f t="shared" si="234"/>
        <v>1890.9000000000017</v>
      </c>
      <c r="DI79" s="51">
        <f t="shared" si="234"/>
        <v>1834.2999999999993</v>
      </c>
      <c r="DJ79" s="51">
        <f t="shared" si="234"/>
        <v>2195.3000000000011</v>
      </c>
      <c r="DK79" s="51">
        <f t="shared" si="234"/>
        <v>1689.299999999999</v>
      </c>
      <c r="DL79" s="51">
        <f t="shared" si="234"/>
        <v>1807.0999999999992</v>
      </c>
      <c r="DM79" s="51">
        <f t="shared" si="234"/>
        <v>2926.5999999999976</v>
      </c>
      <c r="DN79" s="51">
        <f t="shared" si="234"/>
        <v>3316.0000000000018</v>
      </c>
      <c r="DO79" s="51">
        <f t="shared" si="234"/>
        <v>2704.7</v>
      </c>
      <c r="DP79" s="51">
        <f t="shared" si="234"/>
        <v>4399.7999999999984</v>
      </c>
      <c r="DQ79" s="51">
        <f t="shared" si="234"/>
        <v>4635.9000000000051</v>
      </c>
      <c r="DR79" s="51">
        <f t="shared" si="234"/>
        <v>6215.7341000000015</v>
      </c>
      <c r="DS79" s="51">
        <f t="shared" si="234"/>
        <v>5301.5</v>
      </c>
      <c r="DT79" s="51">
        <f t="shared" si="234"/>
        <v>6644.3903000000037</v>
      </c>
      <c r="DU79" s="51">
        <f t="shared" si="234"/>
        <v>7208.096400000004</v>
      </c>
      <c r="DV79" s="51">
        <f t="shared" si="234"/>
        <v>8323.7628100000038</v>
      </c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>
        <f t="shared" ref="EJ79:EM79" si="235">EJ77+EJ78</f>
        <v>2205.6999999999998</v>
      </c>
      <c r="EK79" s="51">
        <f t="shared" si="235"/>
        <v>2643.1999999999985</v>
      </c>
      <c r="EL79" s="51">
        <f t="shared" si="235"/>
        <v>3179.8999999999992</v>
      </c>
      <c r="EM79" s="51">
        <f t="shared" si="235"/>
        <v>3377.3999999999996</v>
      </c>
      <c r="EN79" s="51">
        <f t="shared" ref="EN79:ES79" si="236">EN77+EN78</f>
        <v>3951</v>
      </c>
      <c r="EO79" s="51">
        <f t="shared" si="236"/>
        <v>3620.2000000000007</v>
      </c>
      <c r="EP79" s="51">
        <f t="shared" si="236"/>
        <v>3590</v>
      </c>
      <c r="EQ79" s="51">
        <f t="shared" si="236"/>
        <v>3939</v>
      </c>
      <c r="ER79" s="51">
        <f t="shared" si="236"/>
        <v>3966</v>
      </c>
      <c r="ES79" s="51">
        <f t="shared" si="236"/>
        <v>4601.4999999999982</v>
      </c>
      <c r="ET79" s="51">
        <f t="shared" ref="ET79" si="237">ET77+ET78</f>
        <v>6493.6959999999981</v>
      </c>
      <c r="EU79" s="51">
        <f t="shared" ref="EU79:FD79" si="238">EU77+EU78</f>
        <v>10156.499999999998</v>
      </c>
      <c r="EV79" s="51">
        <f t="shared" si="238"/>
        <v>5805.7999999999993</v>
      </c>
      <c r="EW79" s="51">
        <f t="shared" si="238"/>
        <v>5544.899999999996</v>
      </c>
      <c r="EX79" s="51">
        <f t="shared" si="238"/>
        <v>5729.7000000000016</v>
      </c>
      <c r="EY79" s="51">
        <f t="shared" si="238"/>
        <v>4299.5999999999995</v>
      </c>
      <c r="EZ79" s="51">
        <f t="shared" si="238"/>
        <v>-7137.8249999999998</v>
      </c>
      <c r="FA79" s="51">
        <f t="shared" si="238"/>
        <v>-5710.26</v>
      </c>
      <c r="FB79" s="51">
        <f t="shared" si="238"/>
        <v>0</v>
      </c>
      <c r="FC79" s="51">
        <f t="shared" si="238"/>
        <v>0</v>
      </c>
      <c r="FD79" s="51">
        <f t="shared" si="238"/>
        <v>4447.9000000000051</v>
      </c>
      <c r="FE79" s="51">
        <f t="shared" ref="FE79:FP79" si="239">FE77+FE78</f>
        <v>5785.0999999999985</v>
      </c>
      <c r="FF79" s="51">
        <f t="shared" si="239"/>
        <v>6399.0999999999976</v>
      </c>
      <c r="FG79" s="51">
        <f t="shared" si="239"/>
        <v>7464.2000000000007</v>
      </c>
      <c r="FH79" s="51">
        <f>FH77+FH78</f>
        <v>8534.0999999999985</v>
      </c>
      <c r="FI79" s="51">
        <f t="shared" si="239"/>
        <v>8728.0000000000055</v>
      </c>
      <c r="FJ79" s="51">
        <f>FJ77+FJ78</f>
        <v>9616.6000000000022</v>
      </c>
      <c r="FK79" s="51">
        <f>FK77+FK78</f>
        <v>17583.434099999988</v>
      </c>
      <c r="FL79" s="51">
        <f t="shared" si="239"/>
        <v>22068.828706520013</v>
      </c>
      <c r="FM79" s="51">
        <f t="shared" si="239"/>
        <v>39844.05372522433</v>
      </c>
      <c r="FN79" s="51">
        <f t="shared" si="239"/>
        <v>50628.705816021931</v>
      </c>
      <c r="FO79" s="51">
        <f t="shared" si="239"/>
        <v>61098.359247304194</v>
      </c>
      <c r="FP79" s="51">
        <f t="shared" si="239"/>
        <v>69105.725421271287</v>
      </c>
      <c r="FQ79" s="51">
        <f>FQ77+FQ78</f>
        <v>76867.295225435722</v>
      </c>
      <c r="FR79" s="51">
        <f t="shared" ref="FR79:FU79" si="240">FR77+FR78</f>
        <v>78774.246133125576</v>
      </c>
      <c r="FS79" s="51">
        <f t="shared" si="240"/>
        <v>82023.505501422929</v>
      </c>
      <c r="FT79" s="51">
        <f t="shared" si="240"/>
        <v>85968.049385988183</v>
      </c>
      <c r="FU79" s="51">
        <f t="shared" si="240"/>
        <v>90542.477371226501</v>
      </c>
      <c r="FV79" s="51">
        <f>FV77+FV78</f>
        <v>90459.710056928656</v>
      </c>
    </row>
    <row r="80" spans="1:178" x14ac:dyDescent="0.25">
      <c r="A80" s="102"/>
      <c r="B80" t="s">
        <v>82</v>
      </c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>
        <v>230</v>
      </c>
      <c r="AQ80" s="51">
        <v>208</v>
      </c>
      <c r="AR80" s="51">
        <v>205.3</v>
      </c>
      <c r="AS80" s="51">
        <v>224.1</v>
      </c>
      <c r="AT80" s="51">
        <v>195</v>
      </c>
      <c r="AU80" s="51">
        <v>222</v>
      </c>
      <c r="AV80" s="51">
        <v>219</v>
      </c>
      <c r="AW80" s="51">
        <v>220.6</v>
      </c>
      <c r="AX80" s="51">
        <v>226.6</v>
      </c>
      <c r="AY80" s="51">
        <v>257.60000000000002</v>
      </c>
      <c r="AZ80" s="51">
        <v>263.10000000000002</v>
      </c>
      <c r="BA80" s="51">
        <v>263.3</v>
      </c>
      <c r="BB80" s="51">
        <v>197.9</v>
      </c>
      <c r="BC80" s="51">
        <v>-8</v>
      </c>
      <c r="BD80" s="51">
        <v>247.5</v>
      </c>
      <c r="BE80" s="51">
        <v>320</v>
      </c>
      <c r="BF80" s="51">
        <v>295.89999999999998</v>
      </c>
      <c r="BG80" s="51">
        <v>370.3</v>
      </c>
      <c r="BH80" s="51">
        <v>346</v>
      </c>
      <c r="BI80" s="51">
        <v>127.7</v>
      </c>
      <c r="BJ80" s="51">
        <v>265.7</v>
      </c>
      <c r="BK80" s="51">
        <v>486.4</v>
      </c>
      <c r="BL80" s="51">
        <v>387.6</v>
      </c>
      <c r="BM80" s="51">
        <v>368.4</v>
      </c>
      <c r="BN80" s="51">
        <v>240</v>
      </c>
      <c r="BO80" s="51">
        <v>363.3</v>
      </c>
      <c r="BP80" s="51">
        <v>334</v>
      </c>
      <c r="BQ80" s="51">
        <v>273.89999999999998</v>
      </c>
      <c r="BR80" s="51">
        <v>240.5</v>
      </c>
      <c r="BS80" s="51">
        <v>332.2</v>
      </c>
      <c r="BT80" s="51">
        <v>262.10000000000002</v>
      </c>
      <c r="BU80" s="51">
        <v>251.9</v>
      </c>
      <c r="BV80" s="51">
        <v>185.2</v>
      </c>
      <c r="BW80" s="51">
        <v>403.1</v>
      </c>
      <c r="BX80" s="51">
        <v>308.7</v>
      </c>
      <c r="BY80" s="51">
        <v>310.3</v>
      </c>
      <c r="BZ80" s="51">
        <v>182.4</v>
      </c>
      <c r="CA80" s="51">
        <v>162.9</v>
      </c>
      <c r="CB80" s="51">
        <v>206.9</v>
      </c>
      <c r="CC80" s="51">
        <v>154.9</v>
      </c>
      <c r="CD80" s="51">
        <v>85.1</v>
      </c>
      <c r="CE80" s="51">
        <v>88.4</v>
      </c>
      <c r="CF80" s="51">
        <v>78.900000000000006</v>
      </c>
      <c r="CG80" s="51">
        <v>248.1</v>
      </c>
      <c r="CH80" s="51">
        <v>0</v>
      </c>
      <c r="CI80" s="51">
        <v>126.7</v>
      </c>
      <c r="CJ80" s="51">
        <v>196.8</v>
      </c>
      <c r="CK80" s="51">
        <v>192.7</v>
      </c>
      <c r="CL80" s="51">
        <v>120.2</v>
      </c>
      <c r="CM80" s="51">
        <v>172</v>
      </c>
      <c r="CN80" s="51">
        <v>252.5</v>
      </c>
      <c r="CO80" s="51">
        <v>36</v>
      </c>
      <c r="CP80" s="51">
        <v>0</v>
      </c>
      <c r="CQ80" s="51">
        <v>223.6</v>
      </c>
      <c r="CR80" s="51">
        <v>264.7</v>
      </c>
      <c r="CS80" s="51">
        <v>261.5</v>
      </c>
      <c r="CT80" s="51">
        <v>0</v>
      </c>
      <c r="CU80" s="51">
        <v>183.4</v>
      </c>
      <c r="CV80" s="51">
        <v>154.5</v>
      </c>
      <c r="CW80" s="51">
        <v>180.1</v>
      </c>
      <c r="CX80" s="51">
        <v>167.4</v>
      </c>
      <c r="CY80" s="51">
        <v>251.9</v>
      </c>
      <c r="CZ80" s="51">
        <v>231.7</v>
      </c>
      <c r="DA80" s="51">
        <v>258.2</v>
      </c>
      <c r="DB80" s="51">
        <v>352.3</v>
      </c>
      <c r="DC80" s="51">
        <v>143.19999999999999</v>
      </c>
      <c r="DD80" s="51">
        <v>203.7</v>
      </c>
      <c r="DE80" s="51">
        <v>293.2</v>
      </c>
      <c r="DF80" s="51">
        <v>113.8</v>
      </c>
      <c r="DG80" s="51">
        <v>273.8</v>
      </c>
      <c r="DH80" s="51">
        <v>187.2</v>
      </c>
      <c r="DI80" s="51">
        <v>113.8</v>
      </c>
      <c r="DJ80" s="51">
        <f>158.7+9.7</f>
        <v>168.39999999999998</v>
      </c>
      <c r="DK80" s="51">
        <v>184.8</v>
      </c>
      <c r="DL80" s="51">
        <v>325.7</v>
      </c>
      <c r="DM80" s="51">
        <f t="shared" ref="DM80" si="241">+DM79*0.1</f>
        <v>292.6599999999998</v>
      </c>
      <c r="DN80" s="51">
        <f>19.9+319.2</f>
        <v>339.09999999999997</v>
      </c>
      <c r="DO80" s="51">
        <f>293.2+23.3</f>
        <v>316.5</v>
      </c>
      <c r="DP80" s="51">
        <f>550.2+147.6</f>
        <v>697.80000000000007</v>
      </c>
      <c r="DQ80" s="51">
        <v>618.1</v>
      </c>
      <c r="DR80" s="51">
        <f>+DR79*0.15</f>
        <v>932.36011500000018</v>
      </c>
      <c r="DS80" s="51">
        <v>696.8</v>
      </c>
      <c r="DT80" s="51">
        <f>+DT79*0.2</f>
        <v>1328.8780600000009</v>
      </c>
      <c r="DU80" s="51">
        <f>+DU79*0.2</f>
        <v>1441.6192800000008</v>
      </c>
      <c r="DV80" s="51">
        <f>+DV79*0.2</f>
        <v>1664.7525620000008</v>
      </c>
      <c r="DX80" s="49"/>
      <c r="DY80" s="49"/>
      <c r="DZ80" s="49"/>
      <c r="EA80" s="49"/>
      <c r="EB80" s="49"/>
      <c r="EC80" s="49"/>
      <c r="ED80" s="49"/>
      <c r="EE80" s="49"/>
      <c r="EF80" s="49"/>
      <c r="EG80" s="49"/>
      <c r="EH80" s="49"/>
      <c r="EI80" s="49"/>
      <c r="EJ80" s="49">
        <v>885.2</v>
      </c>
      <c r="EK80" s="49">
        <v>568.70000000000005</v>
      </c>
      <c r="EL80" s="49">
        <v>698.7</v>
      </c>
      <c r="EM80" s="49">
        <v>800.9</v>
      </c>
      <c r="EN80" s="51">
        <v>850</v>
      </c>
      <c r="EO80" s="51">
        <v>779</v>
      </c>
      <c r="EP80" s="51">
        <v>788</v>
      </c>
      <c r="EQ80" s="51">
        <v>866</v>
      </c>
      <c r="ER80" s="51">
        <v>832</v>
      </c>
      <c r="ES80" s="51">
        <v>912</v>
      </c>
      <c r="ET80" s="51">
        <f>ET79*0.22</f>
        <v>1428.6131199999995</v>
      </c>
      <c r="EU80" s="51">
        <f>SUM(BC80:BF80)</f>
        <v>855.4</v>
      </c>
      <c r="EV80" s="51">
        <f>SUM(BG80:BJ80)</f>
        <v>1109.7</v>
      </c>
      <c r="EW80" s="51">
        <f>SUM(BK80:BN80)</f>
        <v>1482.4</v>
      </c>
      <c r="EX80" s="51">
        <f>SUM(BO80:BR80)</f>
        <v>1211.6999999999998</v>
      </c>
      <c r="EY80" s="51">
        <f>SUM(BS80:BV80)</f>
        <v>1031.3999999999999</v>
      </c>
      <c r="EZ80" s="51">
        <f t="shared" ref="EZ80:FB80" si="242">EZ79*0.28</f>
        <v>-1998.5910000000001</v>
      </c>
      <c r="FA80" s="51">
        <f t="shared" si="242"/>
        <v>-1598.8728000000003</v>
      </c>
      <c r="FB80" s="51">
        <f t="shared" si="242"/>
        <v>0</v>
      </c>
      <c r="FC80" s="51"/>
      <c r="FD80" s="51"/>
      <c r="FE80" s="51"/>
      <c r="FF80" s="49">
        <f t="shared" ref="FF80" si="243">SUM(CU80:CX80)</f>
        <v>685.4</v>
      </c>
      <c r="FG80" s="49">
        <f t="shared" ref="FG80" si="244">SUM(CY80:DB80)</f>
        <v>1094.0999999999999</v>
      </c>
      <c r="FH80" s="49">
        <f>SUM(DC80:DF80)</f>
        <v>753.89999999999986</v>
      </c>
      <c r="FI80" s="49">
        <f>SUM(DG80:DJ80)</f>
        <v>743.19999999999993</v>
      </c>
      <c r="FJ80" s="49">
        <f>SUM(DK80:DN80)</f>
        <v>1142.2599999999998</v>
      </c>
      <c r="FK80" s="51">
        <f>FK79*0.14</f>
        <v>2461.6807739999986</v>
      </c>
      <c r="FL80" s="51">
        <f t="shared" ref="FL80:FP80" si="245">FL79*0.2</f>
        <v>4413.7657413040024</v>
      </c>
      <c r="FM80" s="51">
        <f t="shared" si="245"/>
        <v>7968.8107450448661</v>
      </c>
      <c r="FN80" s="51">
        <f t="shared" si="245"/>
        <v>10125.741163204388</v>
      </c>
      <c r="FO80" s="51">
        <f t="shared" si="245"/>
        <v>12219.671849460839</v>
      </c>
      <c r="FP80" s="51">
        <f t="shared" si="245"/>
        <v>13821.145084254258</v>
      </c>
      <c r="FQ80" s="51">
        <f>FQ79*0.2</f>
        <v>15373.459045087146</v>
      </c>
      <c r="FR80" s="51">
        <f t="shared" ref="FR80:FT80" si="246">FR79*0.2</f>
        <v>15754.849226625116</v>
      </c>
      <c r="FS80" s="51">
        <f t="shared" si="246"/>
        <v>16404.701100284587</v>
      </c>
      <c r="FT80" s="51">
        <f t="shared" si="246"/>
        <v>17193.609877197636</v>
      </c>
      <c r="FU80" s="51">
        <f>FU79*0.2</f>
        <v>18108.495474245301</v>
      </c>
      <c r="FV80" s="51">
        <f>FV79*0.2</f>
        <v>18091.94201138573</v>
      </c>
    </row>
    <row r="81" spans="1:251" x14ac:dyDescent="0.25">
      <c r="A81" s="102"/>
      <c r="B81" t="s">
        <v>83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>
        <f t="shared" ref="AP81:AZ81" si="247">AP79-AP80</f>
        <v>490.20000000000039</v>
      </c>
      <c r="AQ81" s="51">
        <f t="shared" si="247"/>
        <v>449.43663366336614</v>
      </c>
      <c r="AR81" s="51">
        <f t="shared" si="247"/>
        <v>390.99999999999972</v>
      </c>
      <c r="AS81" s="51">
        <f t="shared" si="247"/>
        <v>537.53333333333364</v>
      </c>
      <c r="AT81" s="51">
        <f t="shared" si="247"/>
        <v>642.40000000000077</v>
      </c>
      <c r="AU81" s="51">
        <f t="shared" si="247"/>
        <v>557.30000000000018</v>
      </c>
      <c r="AV81" s="51">
        <f t="shared" si="247"/>
        <v>602.09999999999991</v>
      </c>
      <c r="AW81" s="51">
        <f t="shared" si="247"/>
        <v>717.10000000000048</v>
      </c>
      <c r="AX81" s="51">
        <f t="shared" si="247"/>
        <v>2114.1000000000008</v>
      </c>
      <c r="AY81" s="51">
        <f t="shared" si="247"/>
        <v>996.10000000000025</v>
      </c>
      <c r="AZ81" s="51">
        <f t="shared" si="247"/>
        <v>554.5</v>
      </c>
      <c r="BA81" s="51">
        <f t="shared" ref="BA81:BF81" si="248">BA79-BA80</f>
        <v>2308.8999999999987</v>
      </c>
      <c r="BB81" s="51">
        <f t="shared" si="248"/>
        <v>2517.7000000000003</v>
      </c>
      <c r="BC81" s="51">
        <f t="shared" si="248"/>
        <v>2731.2000000000012</v>
      </c>
      <c r="BD81" s="51">
        <f t="shared" si="248"/>
        <v>2635.7999999999988</v>
      </c>
      <c r="BE81" s="51">
        <f t="shared" si="248"/>
        <v>2722.0000000000009</v>
      </c>
      <c r="BF81" s="51">
        <f t="shared" si="248"/>
        <v>1212.0999999999999</v>
      </c>
      <c r="BG81" s="51">
        <f t="shared" ref="BG81:BL81" si="249">BG79-BG80</f>
        <v>1157.9000000000001</v>
      </c>
      <c r="BH81" s="51">
        <f t="shared" si="249"/>
        <v>1047.4000000000001</v>
      </c>
      <c r="BI81" s="51">
        <f t="shared" si="249"/>
        <v>1491.6000000000006</v>
      </c>
      <c r="BJ81" s="51">
        <f t="shared" si="249"/>
        <v>999.19999999999982</v>
      </c>
      <c r="BK81" s="51">
        <f t="shared" si="249"/>
        <v>1297.5999999999999</v>
      </c>
      <c r="BL81" s="51">
        <f t="shared" si="249"/>
        <v>1357.7999999999997</v>
      </c>
      <c r="BM81" s="51">
        <f t="shared" ref="BM81:BS81" si="250">BM79-BM80</f>
        <v>1340.6999999999998</v>
      </c>
      <c r="BN81" s="51">
        <f t="shared" si="250"/>
        <v>1248.8000000000006</v>
      </c>
      <c r="BO81" s="51">
        <f>BO79-BO80</f>
        <v>1374.9000000000005</v>
      </c>
      <c r="BP81" s="51">
        <f>BP79-BP80</f>
        <v>1329.5999999999985</v>
      </c>
      <c r="BQ81" s="51">
        <f>BQ79-BQ80</f>
        <v>1254</v>
      </c>
      <c r="BR81" s="51">
        <f t="shared" si="250"/>
        <v>969.60000000000059</v>
      </c>
      <c r="BS81" s="51">
        <f t="shared" si="250"/>
        <v>1027.3</v>
      </c>
      <c r="BT81" s="51">
        <f t="shared" ref="BT81:BV81" si="251">BT79-BT80</f>
        <v>923.39999999999907</v>
      </c>
      <c r="BU81" s="51">
        <f t="shared" si="251"/>
        <v>887.49999999999989</v>
      </c>
      <c r="BV81" s="51">
        <f t="shared" si="251"/>
        <v>1031.2</v>
      </c>
      <c r="BW81" s="51">
        <f t="shared" ref="BW81:CA81" si="252">BW79-BW80</f>
        <v>1074.2999999999997</v>
      </c>
      <c r="BX81" s="51">
        <f t="shared" si="252"/>
        <v>1269.7</v>
      </c>
      <c r="BY81" s="51">
        <f t="shared" si="252"/>
        <v>1203.0999999999999</v>
      </c>
      <c r="BZ81" s="51">
        <f>BZ79-BZ80</f>
        <v>820.00000000000023</v>
      </c>
      <c r="CA81" s="51">
        <f t="shared" si="252"/>
        <v>647.30000000000075</v>
      </c>
      <c r="CB81" s="51">
        <f t="shared" ref="CB81:CC81" si="253">CB79-CB80</f>
        <v>625.90000000000043</v>
      </c>
      <c r="CC81" s="51">
        <f t="shared" si="253"/>
        <v>444.9000000000002</v>
      </c>
      <c r="CD81" s="51">
        <f t="shared" ref="CD81" si="254">CD79-CD80</f>
        <v>660.29999999999984</v>
      </c>
      <c r="CE81" s="51">
        <f t="shared" ref="CE81:CF81" si="255">CE79-CE80</f>
        <v>708.0999999999998</v>
      </c>
      <c r="CF81" s="51">
        <f t="shared" si="255"/>
        <v>1184.2999999999995</v>
      </c>
      <c r="CG81" s="51">
        <f t="shared" ref="CG81:CH81" si="256">CG79-CG80</f>
        <v>669.09999999999934</v>
      </c>
      <c r="CH81" s="51">
        <f t="shared" si="256"/>
        <v>699.10000000000014</v>
      </c>
      <c r="CI81" s="51">
        <f t="shared" ref="CI81:CJ81" si="257">CI79-CI80</f>
        <v>869.50000000000023</v>
      </c>
      <c r="CJ81" s="51">
        <f t="shared" si="257"/>
        <v>929.89999999999964</v>
      </c>
      <c r="CK81" s="51">
        <f t="shared" ref="CK81:CL81" si="258">CK79-CK80</f>
        <v>769.09999999999945</v>
      </c>
      <c r="CL81" s="51">
        <f t="shared" si="258"/>
        <v>917.80000000000018</v>
      </c>
      <c r="CM81" s="51">
        <f t="shared" ref="CM81:CN81" si="259">CM79-CM80</f>
        <v>804.10000000000014</v>
      </c>
      <c r="CN81" s="51">
        <f t="shared" si="259"/>
        <v>937.20000000000027</v>
      </c>
      <c r="CO81" s="51">
        <f t="shared" ref="CO81:CP81" si="260">CO79-CO80</f>
        <v>1067.2999999999997</v>
      </c>
      <c r="CP81" s="51">
        <f t="shared" si="260"/>
        <v>1113.4999999999991</v>
      </c>
      <c r="CQ81" s="51">
        <f t="shared" ref="CQ81:CR81" si="261">CQ79-CQ80</f>
        <v>424.49999999999989</v>
      </c>
      <c r="CR81" s="51">
        <f t="shared" si="261"/>
        <v>1362.9999999999998</v>
      </c>
      <c r="CS81" s="51">
        <f t="shared" ref="CS81:CT81" si="262">CS79-CS80</f>
        <v>1293.5999999999999</v>
      </c>
      <c r="CT81" s="51">
        <f t="shared" si="262"/>
        <v>1544.9000000000003</v>
      </c>
      <c r="CU81" s="51">
        <f t="shared" ref="CU81:DG81" si="263">CU79-CU80</f>
        <v>1094.6999999999975</v>
      </c>
      <c r="CV81" s="51">
        <f t="shared" si="263"/>
        <v>1329.0000000000009</v>
      </c>
      <c r="CW81" s="51">
        <f t="shared" si="263"/>
        <v>1294.8000000000011</v>
      </c>
      <c r="CX81" s="51">
        <f t="shared" si="263"/>
        <v>1354.7999999999995</v>
      </c>
      <c r="CY81" s="51">
        <f t="shared" si="263"/>
        <v>1431.4999999999975</v>
      </c>
      <c r="CZ81" s="51">
        <f t="shared" si="263"/>
        <v>1228.4999999999986</v>
      </c>
      <c r="DA81" s="51">
        <f t="shared" si="263"/>
        <v>1164.1999999999989</v>
      </c>
      <c r="DB81" s="51">
        <f t="shared" si="263"/>
        <v>1892.6999999999991</v>
      </c>
      <c r="DC81" s="51">
        <f t="shared" si="263"/>
        <v>1777.5000000000007</v>
      </c>
      <c r="DD81" s="51">
        <f t="shared" si="263"/>
        <v>1698.2999999999972</v>
      </c>
      <c r="DE81" s="51">
        <f t="shared" si="263"/>
        <v>1693.5999999999979</v>
      </c>
      <c r="DF81" s="51">
        <f t="shared" si="263"/>
        <v>2207.1999999999994</v>
      </c>
      <c r="DG81" s="51">
        <f t="shared" si="263"/>
        <v>2538.4999999999991</v>
      </c>
      <c r="DH81" s="51">
        <f>+DH79-DH80</f>
        <v>1703.7000000000016</v>
      </c>
      <c r="DI81" s="51">
        <f t="shared" ref="DI81:DR81" si="264">+DI79-DI80</f>
        <v>1720.4999999999993</v>
      </c>
      <c r="DJ81" s="51">
        <f t="shared" si="264"/>
        <v>2026.900000000001</v>
      </c>
      <c r="DK81" s="51">
        <f t="shared" si="264"/>
        <v>1504.4999999999991</v>
      </c>
      <c r="DL81" s="51">
        <f t="shared" si="264"/>
        <v>1481.3999999999992</v>
      </c>
      <c r="DM81" s="51">
        <f t="shared" si="264"/>
        <v>2633.9399999999978</v>
      </c>
      <c r="DN81" s="51">
        <f t="shared" si="264"/>
        <v>2976.9000000000019</v>
      </c>
      <c r="DO81" s="51">
        <f t="shared" si="264"/>
        <v>2388.1999999999998</v>
      </c>
      <c r="DP81" s="51">
        <f t="shared" si="264"/>
        <v>3701.9999999999982</v>
      </c>
      <c r="DQ81" s="51">
        <f t="shared" si="264"/>
        <v>4017.8000000000052</v>
      </c>
      <c r="DR81" s="51">
        <f t="shared" si="264"/>
        <v>5283.3739850000011</v>
      </c>
      <c r="DS81" s="51">
        <f t="shared" ref="DS81:DV81" si="265">+DS79-DS80</f>
        <v>4604.7</v>
      </c>
      <c r="DT81" s="51">
        <f t="shared" si="265"/>
        <v>5315.5122400000027</v>
      </c>
      <c r="DU81" s="51">
        <f t="shared" si="265"/>
        <v>5766.4771200000032</v>
      </c>
      <c r="DV81" s="51">
        <f t="shared" si="265"/>
        <v>6659.0102480000032</v>
      </c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>
        <f t="shared" ref="EJ81:EM81" si="266">EJ79-EJ80</f>
        <v>1320.4999999999998</v>
      </c>
      <c r="EK81" s="51">
        <f t="shared" si="266"/>
        <v>2074.4999999999982</v>
      </c>
      <c r="EL81" s="51">
        <f t="shared" si="266"/>
        <v>2481.1999999999989</v>
      </c>
      <c r="EM81" s="51">
        <f t="shared" si="266"/>
        <v>2576.4999999999995</v>
      </c>
      <c r="EN81" s="51">
        <f t="shared" ref="EN81:ET81" si="267">EN79-EN80</f>
        <v>3101</v>
      </c>
      <c r="EO81" s="51">
        <f t="shared" si="267"/>
        <v>2841.2000000000007</v>
      </c>
      <c r="EP81" s="51">
        <f t="shared" si="267"/>
        <v>2802</v>
      </c>
      <c r="EQ81" s="51">
        <f t="shared" si="267"/>
        <v>3073</v>
      </c>
      <c r="ER81" s="51">
        <f t="shared" si="267"/>
        <v>3134</v>
      </c>
      <c r="ES81" s="51">
        <f t="shared" si="267"/>
        <v>3689.4999999999982</v>
      </c>
      <c r="ET81" s="51">
        <f t="shared" si="267"/>
        <v>5065.0828799999981</v>
      </c>
      <c r="EU81" s="51">
        <f>EU79-EU80</f>
        <v>9301.0999999999985</v>
      </c>
      <c r="EV81" s="51">
        <f>EV79-EV80</f>
        <v>4696.0999999999995</v>
      </c>
      <c r="EW81" s="51">
        <f>EW79-EW80</f>
        <v>4062.4999999999959</v>
      </c>
      <c r="EX81" s="51">
        <f>EX79-EX80</f>
        <v>4518.0000000000018</v>
      </c>
      <c r="EY81" s="51">
        <f t="shared" ref="EY81:FB81" si="268">EY79-EY80</f>
        <v>3268.2</v>
      </c>
      <c r="EZ81" s="51">
        <f t="shared" si="268"/>
        <v>-5139.2339999999995</v>
      </c>
      <c r="FA81" s="51">
        <f t="shared" si="268"/>
        <v>-4111.3872000000001</v>
      </c>
      <c r="FB81" s="51">
        <f t="shared" si="268"/>
        <v>0</v>
      </c>
      <c r="FC81" s="51">
        <f>FC79-FC80</f>
        <v>0</v>
      </c>
      <c r="FD81" s="51">
        <f>FD79-FD80</f>
        <v>4447.9000000000051</v>
      </c>
      <c r="FE81" s="51">
        <f t="shared" ref="FE81:FH81" si="269">FE79-FE80</f>
        <v>5785.0999999999985</v>
      </c>
      <c r="FF81" s="51">
        <f t="shared" si="269"/>
        <v>5713.699999999998</v>
      </c>
      <c r="FG81" s="51">
        <f t="shared" si="269"/>
        <v>6370.1</v>
      </c>
      <c r="FH81" s="51">
        <f t="shared" si="269"/>
        <v>7780.1999999999989</v>
      </c>
      <c r="FI81" s="51">
        <f>+FI79-FI80</f>
        <v>7984.8000000000056</v>
      </c>
      <c r="FJ81" s="51">
        <f>+FJ79-FJ80</f>
        <v>8474.340000000002</v>
      </c>
      <c r="FK81" s="51">
        <f>+FK79-FK80</f>
        <v>15121.753325999989</v>
      </c>
      <c r="FL81" s="51">
        <f t="shared" ref="FL81:FO81" si="270">+FL79-FL80</f>
        <v>17655.06296521601</v>
      </c>
      <c r="FM81" s="51">
        <f t="shared" si="270"/>
        <v>31875.242980179464</v>
      </c>
      <c r="FN81" s="51">
        <f t="shared" si="270"/>
        <v>40502.964652817544</v>
      </c>
      <c r="FO81" s="51">
        <f t="shared" si="270"/>
        <v>48878.687397843358</v>
      </c>
      <c r="FP81" s="51">
        <f>+FP79-FP80</f>
        <v>55284.580337017032</v>
      </c>
      <c r="FQ81" s="51">
        <f>+FQ79-FQ80</f>
        <v>61493.836180348575</v>
      </c>
      <c r="FR81" s="51">
        <f t="shared" ref="FR81:FT81" si="271">+FR79-FR80</f>
        <v>63019.396906500464</v>
      </c>
      <c r="FS81" s="51">
        <f t="shared" si="271"/>
        <v>65618.804401138346</v>
      </c>
      <c r="FT81" s="51">
        <f t="shared" si="271"/>
        <v>68774.439508790543</v>
      </c>
      <c r="FU81" s="51">
        <f>+FU79-FU80</f>
        <v>72433.981896981204</v>
      </c>
      <c r="FV81" s="51">
        <f>+FV79-FV80</f>
        <v>72367.768045542922</v>
      </c>
      <c r="FW81" s="54">
        <f t="shared" ref="FW81:HB81" si="272">+FV81*(1+$FY$98)</f>
        <v>72367.768045542922</v>
      </c>
      <c r="FX81" s="54">
        <f t="shared" si="272"/>
        <v>72367.768045542922</v>
      </c>
      <c r="FY81" s="54">
        <f t="shared" si="272"/>
        <v>72367.768045542922</v>
      </c>
      <c r="FZ81" s="54">
        <f t="shared" si="272"/>
        <v>72367.768045542922</v>
      </c>
      <c r="GA81" s="54">
        <f t="shared" si="272"/>
        <v>72367.768045542922</v>
      </c>
      <c r="GB81" s="54">
        <f t="shared" si="272"/>
        <v>72367.768045542922</v>
      </c>
      <c r="GC81" s="54">
        <f t="shared" si="272"/>
        <v>72367.768045542922</v>
      </c>
      <c r="GD81" s="54">
        <f t="shared" si="272"/>
        <v>72367.768045542922</v>
      </c>
      <c r="GE81" s="54">
        <f t="shared" si="272"/>
        <v>72367.768045542922</v>
      </c>
      <c r="GF81" s="54">
        <f t="shared" si="272"/>
        <v>72367.768045542922</v>
      </c>
      <c r="GG81" s="54">
        <f t="shared" si="272"/>
        <v>72367.768045542922</v>
      </c>
      <c r="GH81" s="54">
        <f t="shared" si="272"/>
        <v>72367.768045542922</v>
      </c>
      <c r="GI81" s="54">
        <f t="shared" si="272"/>
        <v>72367.768045542922</v>
      </c>
      <c r="GJ81" s="54">
        <f t="shared" si="272"/>
        <v>72367.768045542922</v>
      </c>
      <c r="GK81" s="54">
        <f t="shared" si="272"/>
        <v>72367.768045542922</v>
      </c>
      <c r="GL81" s="54">
        <f t="shared" si="272"/>
        <v>72367.768045542922</v>
      </c>
      <c r="GM81" s="54">
        <f t="shared" si="272"/>
        <v>72367.768045542922</v>
      </c>
      <c r="GN81" s="54">
        <f t="shared" si="272"/>
        <v>72367.768045542922</v>
      </c>
      <c r="GO81" s="54">
        <f t="shared" si="272"/>
        <v>72367.768045542922</v>
      </c>
      <c r="GP81" s="54">
        <f t="shared" si="272"/>
        <v>72367.768045542922</v>
      </c>
      <c r="GQ81" s="54">
        <f t="shared" si="272"/>
        <v>72367.768045542922</v>
      </c>
      <c r="GR81" s="54">
        <f t="shared" si="272"/>
        <v>72367.768045542922</v>
      </c>
      <c r="GS81" s="54">
        <f t="shared" si="272"/>
        <v>72367.768045542922</v>
      </c>
      <c r="GT81" s="54">
        <f t="shared" si="272"/>
        <v>72367.768045542922</v>
      </c>
      <c r="GU81" s="54">
        <f t="shared" si="272"/>
        <v>72367.768045542922</v>
      </c>
      <c r="GV81" s="54">
        <f t="shared" si="272"/>
        <v>72367.768045542922</v>
      </c>
      <c r="GW81" s="54">
        <f t="shared" si="272"/>
        <v>72367.768045542922</v>
      </c>
      <c r="GX81" s="54">
        <f t="shared" si="272"/>
        <v>72367.768045542922</v>
      </c>
      <c r="GY81" s="54">
        <f t="shared" si="272"/>
        <v>72367.768045542922</v>
      </c>
      <c r="GZ81" s="54">
        <f t="shared" si="272"/>
        <v>72367.768045542922</v>
      </c>
      <c r="HA81" s="54">
        <f t="shared" si="272"/>
        <v>72367.768045542922</v>
      </c>
      <c r="HB81" s="54">
        <f t="shared" si="272"/>
        <v>72367.768045542922</v>
      </c>
      <c r="HC81" s="54">
        <f t="shared" ref="HC81:IH81" si="273">+HB81*(1+$FY$98)</f>
        <v>72367.768045542922</v>
      </c>
      <c r="HD81" s="54">
        <f t="shared" si="273"/>
        <v>72367.768045542922</v>
      </c>
      <c r="HE81" s="54">
        <f t="shared" si="273"/>
        <v>72367.768045542922</v>
      </c>
      <c r="HF81" s="54">
        <f t="shared" si="273"/>
        <v>72367.768045542922</v>
      </c>
      <c r="HG81" s="54">
        <f t="shared" si="273"/>
        <v>72367.768045542922</v>
      </c>
      <c r="HH81" s="54">
        <f t="shared" si="273"/>
        <v>72367.768045542922</v>
      </c>
      <c r="HI81" s="54">
        <f t="shared" si="273"/>
        <v>72367.768045542922</v>
      </c>
      <c r="HJ81" s="54">
        <f t="shared" si="273"/>
        <v>72367.768045542922</v>
      </c>
      <c r="HK81" s="54">
        <f t="shared" si="273"/>
        <v>72367.768045542922</v>
      </c>
      <c r="HL81" s="54">
        <f t="shared" si="273"/>
        <v>72367.768045542922</v>
      </c>
      <c r="HM81" s="54">
        <f t="shared" si="273"/>
        <v>72367.768045542922</v>
      </c>
      <c r="HN81" s="54">
        <f t="shared" si="273"/>
        <v>72367.768045542922</v>
      </c>
      <c r="HO81" s="54">
        <f t="shared" si="273"/>
        <v>72367.768045542922</v>
      </c>
      <c r="HP81" s="54">
        <f t="shared" si="273"/>
        <v>72367.768045542922</v>
      </c>
      <c r="HQ81" s="54">
        <f t="shared" si="273"/>
        <v>72367.768045542922</v>
      </c>
      <c r="HR81" s="54">
        <f t="shared" si="273"/>
        <v>72367.768045542922</v>
      </c>
      <c r="HS81" s="54">
        <f t="shared" si="273"/>
        <v>72367.768045542922</v>
      </c>
      <c r="HT81" s="54">
        <f t="shared" si="273"/>
        <v>72367.768045542922</v>
      </c>
      <c r="HU81" s="54">
        <f t="shared" si="273"/>
        <v>72367.768045542922</v>
      </c>
      <c r="HV81" s="54">
        <f t="shared" si="273"/>
        <v>72367.768045542922</v>
      </c>
      <c r="HW81" s="54">
        <f t="shared" si="273"/>
        <v>72367.768045542922</v>
      </c>
      <c r="HX81" s="54">
        <f t="shared" si="273"/>
        <v>72367.768045542922</v>
      </c>
      <c r="HY81" s="54">
        <f t="shared" si="273"/>
        <v>72367.768045542922</v>
      </c>
      <c r="HZ81" s="54">
        <f t="shared" si="273"/>
        <v>72367.768045542922</v>
      </c>
      <c r="IA81" s="54">
        <f t="shared" si="273"/>
        <v>72367.768045542922</v>
      </c>
      <c r="IB81" s="54">
        <f t="shared" si="273"/>
        <v>72367.768045542922</v>
      </c>
      <c r="IC81" s="54">
        <f t="shared" si="273"/>
        <v>72367.768045542922</v>
      </c>
      <c r="ID81" s="54">
        <f t="shared" si="273"/>
        <v>72367.768045542922</v>
      </c>
      <c r="IE81" s="54">
        <f t="shared" si="273"/>
        <v>72367.768045542922</v>
      </c>
      <c r="IF81" s="54">
        <f t="shared" si="273"/>
        <v>72367.768045542922</v>
      </c>
      <c r="IG81" s="54">
        <f t="shared" si="273"/>
        <v>72367.768045542922</v>
      </c>
      <c r="IH81" s="54">
        <f t="shared" si="273"/>
        <v>72367.768045542922</v>
      </c>
      <c r="II81" s="54">
        <f t="shared" ref="II81:IQ81" si="274">+IH81*(1+$FY$98)</f>
        <v>72367.768045542922</v>
      </c>
      <c r="IJ81" s="54">
        <f t="shared" si="274"/>
        <v>72367.768045542922</v>
      </c>
      <c r="IK81" s="54">
        <f t="shared" si="274"/>
        <v>72367.768045542922</v>
      </c>
      <c r="IL81" s="54">
        <f t="shared" si="274"/>
        <v>72367.768045542922</v>
      </c>
      <c r="IM81" s="54">
        <f t="shared" si="274"/>
        <v>72367.768045542922</v>
      </c>
      <c r="IN81" s="54">
        <f t="shared" si="274"/>
        <v>72367.768045542922</v>
      </c>
      <c r="IO81" s="54">
        <f t="shared" si="274"/>
        <v>72367.768045542922</v>
      </c>
      <c r="IP81" s="54">
        <f t="shared" si="274"/>
        <v>72367.768045542922</v>
      </c>
      <c r="IQ81" s="54">
        <f t="shared" si="274"/>
        <v>72367.768045542922</v>
      </c>
    </row>
    <row r="82" spans="1:251" s="58" customFormat="1" ht="13" x14ac:dyDescent="0.3">
      <c r="A82" s="108"/>
      <c r="B82" s="58" t="s">
        <v>56</v>
      </c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>
        <f t="shared" ref="AP82:AY82" si="275">AP81/AP83</f>
        <v>0.4500550863018733</v>
      </c>
      <c r="AQ82" s="59">
        <f t="shared" si="275"/>
        <v>0.41270581603614886</v>
      </c>
      <c r="AR82" s="59">
        <f t="shared" si="275"/>
        <v>0.35871559633027494</v>
      </c>
      <c r="AS82" s="59">
        <f t="shared" si="275"/>
        <v>0.49269783073632784</v>
      </c>
      <c r="AT82" s="59">
        <f t="shared" si="275"/>
        <v>0.58747142203932401</v>
      </c>
      <c r="AU82" s="59">
        <f t="shared" si="275"/>
        <v>0.51269549218031296</v>
      </c>
      <c r="AV82" s="59">
        <f t="shared" si="275"/>
        <v>0.55477748088086243</v>
      </c>
      <c r="AW82" s="59">
        <f t="shared" si="275"/>
        <v>0.66006266499265509</v>
      </c>
      <c r="AX82" s="59">
        <f t="shared" si="275"/>
        <v>1.9411494109340131</v>
      </c>
      <c r="AY82" s="59">
        <f t="shared" si="275"/>
        <v>0.91395466836226802</v>
      </c>
      <c r="AZ82" s="59">
        <f t="shared" ref="AZ82:BF82" si="276">AZ81/AZ83</f>
        <v>0.50877207469820052</v>
      </c>
      <c r="BA82" s="59">
        <f t="shared" si="276"/>
        <v>2.117813888471034</v>
      </c>
      <c r="BB82" s="59">
        <f t="shared" si="276"/>
        <v>2.3042440483381479</v>
      </c>
      <c r="BC82" s="59">
        <f t="shared" si="276"/>
        <v>2.4963987218204564</v>
      </c>
      <c r="BD82" s="59">
        <f t="shared" si="276"/>
        <v>2.4096936275406082</v>
      </c>
      <c r="BE82" s="59">
        <f t="shared" si="276"/>
        <v>2.4881693125175399</v>
      </c>
      <c r="BF82" s="59">
        <f t="shared" si="276"/>
        <v>1.1054354299305693</v>
      </c>
      <c r="BG82" s="59">
        <f t="shared" ref="BG82:BL82" si="277">BG81/BG83</f>
        <v>1.0552687795737732</v>
      </c>
      <c r="BH82" s="59">
        <f t="shared" si="277"/>
        <v>0.95460042854031091</v>
      </c>
      <c r="BI82" s="59">
        <f t="shared" si="277"/>
        <v>1.3588746375286636</v>
      </c>
      <c r="BJ82" s="59">
        <f t="shared" si="277"/>
        <v>0.90717029507547786</v>
      </c>
      <c r="BK82" s="59">
        <f t="shared" si="277"/>
        <v>1.1759950553105565</v>
      </c>
      <c r="BL82" s="59">
        <f t="shared" si="277"/>
        <v>1.2301063501137424</v>
      </c>
      <c r="BM82" s="59">
        <f>BM81/BM83</f>
        <v>1.2130858000104956</v>
      </c>
      <c r="BN82" s="59">
        <f>BN81/BN83</f>
        <v>1.1256930791689996</v>
      </c>
      <c r="BO82" s="59">
        <f>+BO81/BO83</f>
        <v>1.236420863309353</v>
      </c>
      <c r="BP82" s="59">
        <f t="shared" ref="BP82:BV82" si="278">BP81/BP83</f>
        <v>1.1491789109766626</v>
      </c>
      <c r="BQ82" s="59">
        <f t="shared" si="278"/>
        <v>1.125833938596263</v>
      </c>
      <c r="BR82" s="59">
        <f t="shared" si="278"/>
        <v>0.86959641255605435</v>
      </c>
      <c r="BS82" s="59">
        <f t="shared" si="278"/>
        <v>0.91970961062075252</v>
      </c>
      <c r="BT82" s="59">
        <f t="shared" si="278"/>
        <v>0.82593917710196696</v>
      </c>
      <c r="BU82" s="59">
        <f t="shared" si="278"/>
        <v>0.79266479166089832</v>
      </c>
      <c r="BV82" s="59">
        <f t="shared" si="278"/>
        <v>0.92577297374941636</v>
      </c>
      <c r="BW82" s="59">
        <f t="shared" ref="BW82:CA82" si="279">BW81/BW83</f>
        <v>0.98390293403280205</v>
      </c>
      <c r="BX82" s="59">
        <f t="shared" si="279"/>
        <v>1.1712699843271033</v>
      </c>
      <c r="BY82" s="59">
        <f t="shared" si="279"/>
        <v>1.1096077774918676</v>
      </c>
      <c r="BZ82" s="59">
        <f t="shared" si="279"/>
        <v>0.75997983273029257</v>
      </c>
      <c r="CA82" s="59">
        <f t="shared" si="279"/>
        <v>0.60167163024847725</v>
      </c>
      <c r="CB82" s="59">
        <f t="shared" ref="CB82:CC82" si="280">CB81/CB83</f>
        <v>0.58146556449260467</v>
      </c>
      <c r="CC82" s="59">
        <f t="shared" si="280"/>
        <v>0.41409698190408312</v>
      </c>
      <c r="CD82" s="59">
        <f t="shared" ref="CD82" si="281">CD81/CD83</f>
        <v>0.61722567202630041</v>
      </c>
      <c r="CE82" s="59">
        <f t="shared" ref="CE82:CF82" si="282">CE81/CE83</f>
        <v>0.66361397366161945</v>
      </c>
      <c r="CF82" s="59">
        <f t="shared" si="282"/>
        <v>1.1114093304704269</v>
      </c>
      <c r="CG82" s="59">
        <f t="shared" ref="CG82:CH82" si="283">CG81/CG83</f>
        <v>0.62816912780157641</v>
      </c>
      <c r="CH82" s="59">
        <f t="shared" si="283"/>
        <v>0.65649788288588629</v>
      </c>
      <c r="CI82" s="59">
        <f t="shared" ref="CI82:CJ82" si="284">CI81/CI83</f>
        <v>0.81791030736307424</v>
      </c>
      <c r="CJ82" s="59">
        <f t="shared" si="284"/>
        <v>0.87719546488340971</v>
      </c>
      <c r="CK82" s="59">
        <f t="shared" ref="CK82:CL82" si="285">CK81/CK83</f>
        <v>0.72502842232080689</v>
      </c>
      <c r="CL82" s="59">
        <f t="shared" si="285"/>
        <v>0.86462715897721909</v>
      </c>
      <c r="CM82" s="59">
        <f t="shared" ref="CM82:CN82" si="286">CM81/CM83</f>
        <v>0.76123774739516781</v>
      </c>
      <c r="CN82" s="59">
        <f t="shared" si="286"/>
        <v>0.88656809603541764</v>
      </c>
      <c r="CO82" s="59">
        <f t="shared" ref="CO82:CP82" si="287">CO81/CO83</f>
        <v>1.0106768305674578</v>
      </c>
      <c r="CP82" s="59">
        <f t="shared" si="287"/>
        <v>1.0593754489382929</v>
      </c>
      <c r="CQ82" s="59">
        <f t="shared" ref="CQ82:CR82" si="288">CQ81/CQ83</f>
        <v>0.40434771426856869</v>
      </c>
      <c r="CR82" s="59">
        <f t="shared" si="288"/>
        <v>1.3230312266431112</v>
      </c>
      <c r="CS82" s="59">
        <f t="shared" ref="CS82:CT82" si="289">CS81/CS83</f>
        <v>1.2604526170761319</v>
      </c>
      <c r="CT82" s="59">
        <f t="shared" si="289"/>
        <v>1.5171587522157357</v>
      </c>
      <c r="CU82" s="59">
        <f t="shared" ref="CU82:DO82" si="290">CU81/CU83</f>
        <v>1.1124988694117157</v>
      </c>
      <c r="CV82" s="59">
        <f t="shared" si="290"/>
        <v>1.4373316894325308</v>
      </c>
      <c r="CW82" s="59">
        <f t="shared" si="290"/>
        <v>1.4097603146156488</v>
      </c>
      <c r="CX82" s="59">
        <f t="shared" si="290"/>
        <v>1.4811769825009451</v>
      </c>
      <c r="CY82" s="59">
        <f t="shared" si="290"/>
        <v>1.5701212991368967</v>
      </c>
      <c r="CZ82" s="59">
        <f t="shared" si="290"/>
        <v>1.3486809603794077</v>
      </c>
      <c r="DA82" s="59">
        <f t="shared" si="290"/>
        <v>1.2773432314084667</v>
      </c>
      <c r="DB82" s="59">
        <f t="shared" si="290"/>
        <v>2.0739849505419174</v>
      </c>
      <c r="DC82" s="59">
        <f t="shared" si="290"/>
        <v>1.9481587023235432</v>
      </c>
      <c r="DD82" s="59">
        <f t="shared" si="290"/>
        <v>1.8654765461607379</v>
      </c>
      <c r="DE82" s="59">
        <f t="shared" si="290"/>
        <v>1.8595642497235774</v>
      </c>
      <c r="DF82" s="59">
        <f t="shared" si="290"/>
        <v>2.4266811792579883</v>
      </c>
      <c r="DG82" s="59">
        <f t="shared" si="290"/>
        <v>2.8006398940864949</v>
      </c>
      <c r="DH82" s="59">
        <f t="shared" si="290"/>
        <v>1.8868363346401771</v>
      </c>
      <c r="DI82" s="59">
        <f t="shared" si="290"/>
        <v>1.9036670347495295</v>
      </c>
      <c r="DJ82" s="59">
        <f t="shared" si="290"/>
        <v>2.2403319436031897</v>
      </c>
      <c r="DK82" s="59">
        <f t="shared" si="290"/>
        <v>1.6655909609723631</v>
      </c>
      <c r="DL82" s="59">
        <f t="shared" si="290"/>
        <v>1.641078587657679</v>
      </c>
      <c r="DM82" s="59">
        <f t="shared" si="290"/>
        <v>2.9178496929762834</v>
      </c>
      <c r="DN82" s="59">
        <f t="shared" si="290"/>
        <v>3.2931038297307484</v>
      </c>
      <c r="DO82" s="59">
        <f t="shared" si="290"/>
        <v>2.642392913492114</v>
      </c>
      <c r="DP82" s="59">
        <f>+DP81/DP83</f>
        <v>4.0940096079836481</v>
      </c>
      <c r="DQ82" s="59">
        <f t="shared" ref="DQ82:DR82" si="291">DQ81/DQ83</f>
        <v>4.4394255640991984</v>
      </c>
      <c r="DR82" s="59">
        <f t="shared" si="291"/>
        <v>5.8440588335495818</v>
      </c>
      <c r="DS82" s="59">
        <f t="shared" ref="DS82:DV82" si="292">DS81/DS83</f>
        <v>5.1129247168554297</v>
      </c>
      <c r="DT82" s="59">
        <f t="shared" si="292"/>
        <v>5.9021899178325592</v>
      </c>
      <c r="DU82" s="59">
        <f t="shared" si="292"/>
        <v>6.4029281812125287</v>
      </c>
      <c r="DV82" s="59">
        <f t="shared" si="292"/>
        <v>7.3939709615811715</v>
      </c>
      <c r="DX82" s="59"/>
      <c r="DY82" s="59"/>
      <c r="DZ82" s="59"/>
      <c r="EA82" s="59"/>
      <c r="EB82" s="59"/>
      <c r="EC82" s="59"/>
      <c r="ED82" s="59"/>
      <c r="EE82" s="59"/>
      <c r="EF82" s="59"/>
      <c r="EG82" s="59"/>
      <c r="EH82" s="59"/>
      <c r="EI82" s="59"/>
      <c r="EJ82" s="59">
        <f t="shared" ref="EJ82:EM82" si="293">EJ81/EJ83</f>
        <v>1.1679856073746282</v>
      </c>
      <c r="EK82" s="59">
        <f t="shared" si="293"/>
        <v>1.8497778839860668</v>
      </c>
      <c r="EL82" s="59">
        <f t="shared" si="293"/>
        <v>2.2432880824190469</v>
      </c>
      <c r="EM82" s="59">
        <f t="shared" si="293"/>
        <v>2.3471270126853261</v>
      </c>
      <c r="EN82" s="59">
        <f t="shared" ref="EN82:ES82" si="294">EN81/EN83</f>
        <v>2.842346471127406</v>
      </c>
      <c r="EO82" s="59">
        <f t="shared" si="294"/>
        <v>2.6186175115207382</v>
      </c>
      <c r="EP82" s="59">
        <f t="shared" si="294"/>
        <v>2.5920444033302497</v>
      </c>
      <c r="EQ82" s="59">
        <f t="shared" si="294"/>
        <v>2.8218549127640036</v>
      </c>
      <c r="ER82" s="59">
        <f t="shared" si="294"/>
        <v>2.8752293577981654</v>
      </c>
      <c r="ES82" s="59">
        <f t="shared" si="294"/>
        <v>3.3973296500920793</v>
      </c>
      <c r="ET82" s="59">
        <f>ET81/ET83</f>
        <v>4.6440721932819287</v>
      </c>
      <c r="EU82" s="59">
        <f>EU81/EU83</f>
        <v>8.4973446654406342</v>
      </c>
      <c r="EV82" s="59">
        <f>EV81/EV83</f>
        <v>4.275411286763509</v>
      </c>
      <c r="EW82" s="59">
        <f>EW81/EW83</f>
        <v>3.6749972635404955</v>
      </c>
      <c r="EX82" s="59">
        <f>EX81/EX83</f>
        <v>4.0179277124291426</v>
      </c>
      <c r="EY82" s="59">
        <f t="shared" ref="EY82:FD82" si="295">EY81/EY83</f>
        <v>2.9255428662478531</v>
      </c>
      <c r="EZ82" s="59">
        <f t="shared" si="295"/>
        <v>-4.6004067580559385</v>
      </c>
      <c r="FA82" s="59">
        <f t="shared" si="295"/>
        <v>-3.6803254064447515</v>
      </c>
      <c r="FB82" s="59">
        <f t="shared" si="295"/>
        <v>0</v>
      </c>
      <c r="FC82" s="59">
        <f t="shared" si="295"/>
        <v>0</v>
      </c>
      <c r="FD82" s="59">
        <f t="shared" si="295"/>
        <v>4.2279493889392201</v>
      </c>
      <c r="FE82" s="59">
        <f t="shared" ref="FE82:FQ82" si="296">FE81/FE83</f>
        <v>5.5966766860120316</v>
      </c>
      <c r="FF82" s="59">
        <f t="shared" si="296"/>
        <v>6.1080298244437161</v>
      </c>
      <c r="FG82" s="59">
        <f t="shared" si="296"/>
        <v>6.9874077809652082</v>
      </c>
      <c r="FH82" s="59">
        <f t="shared" si="296"/>
        <v>8.5424186610816637</v>
      </c>
      <c r="FI82" s="59">
        <f t="shared" si="296"/>
        <v>8.8282169485004154</v>
      </c>
      <c r="FJ82" s="59">
        <f>FJ81/FJ83</f>
        <v>9.3829340754640445</v>
      </c>
      <c r="FK82" s="59">
        <f>FK81/FK83</f>
        <v>16.7223497551654</v>
      </c>
      <c r="FL82" s="59">
        <f t="shared" si="296"/>
        <v>19.523803324194621</v>
      </c>
      <c r="FM82" s="59">
        <f t="shared" si="296"/>
        <v>35.249150687371952</v>
      </c>
      <c r="FN82" s="59">
        <f t="shared" si="296"/>
        <v>44.790093214982839</v>
      </c>
      <c r="FO82" s="59">
        <f t="shared" si="296"/>
        <v>54.052363414417762</v>
      </c>
      <c r="FP82" s="59">
        <f t="shared" si="296"/>
        <v>61.136302684794849</v>
      </c>
      <c r="FQ82" s="59">
        <f t="shared" si="296"/>
        <v>68.002791357967808</v>
      </c>
      <c r="FR82" s="59">
        <f t="shared" ref="FR82:FU82" si="297">FR81/FR83</f>
        <v>69.689828534509573</v>
      </c>
      <c r="FS82" s="59">
        <f t="shared" si="297"/>
        <v>72.564376237043163</v>
      </c>
      <c r="FT82" s="59">
        <f t="shared" si="297"/>
        <v>76.054026731414623</v>
      </c>
      <c r="FU82" s="59">
        <f t="shared" si="297"/>
        <v>80.100921720367936</v>
      </c>
      <c r="FV82" s="59">
        <f>FV81/FV83</f>
        <v>80.027699312984538</v>
      </c>
    </row>
    <row r="83" spans="1:251" x14ac:dyDescent="0.25">
      <c r="A83" s="102"/>
      <c r="B83" t="s">
        <v>84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>
        <v>1089.2</v>
      </c>
      <c r="AQ83" s="51">
        <v>1089</v>
      </c>
      <c r="AR83" s="51">
        <v>1090</v>
      </c>
      <c r="AS83" s="51">
        <v>1091</v>
      </c>
      <c r="AT83" s="51">
        <v>1093.5</v>
      </c>
      <c r="AU83" s="51">
        <v>1087</v>
      </c>
      <c r="AV83" s="51">
        <v>1085.3</v>
      </c>
      <c r="AW83" s="51">
        <v>1086.412</v>
      </c>
      <c r="AX83" s="51">
        <v>1089.097</v>
      </c>
      <c r="AY83" s="51">
        <v>1089.8789999999999</v>
      </c>
      <c r="AZ83" s="51">
        <f>AY83</f>
        <v>1089.8789999999999</v>
      </c>
      <c r="BA83" s="51">
        <v>1090.2280000000001</v>
      </c>
      <c r="BB83" s="51">
        <v>1092.636</v>
      </c>
      <c r="BC83" s="51">
        <v>1094.056</v>
      </c>
      <c r="BD83" s="51">
        <v>1093.8320000000001</v>
      </c>
      <c r="BE83" s="51">
        <v>1093.9770000000001</v>
      </c>
      <c r="BF83" s="51">
        <v>1096.491</v>
      </c>
      <c r="BG83" s="51">
        <v>1097.2560000000001</v>
      </c>
      <c r="BH83" s="51">
        <v>1097.213</v>
      </c>
      <c r="BI83" s="51">
        <v>1097.673</v>
      </c>
      <c r="BJ83" s="51">
        <v>1101.4469999999999</v>
      </c>
      <c r="BK83" s="51">
        <v>1103.4059999999999</v>
      </c>
      <c r="BL83" s="51">
        <v>1103.807</v>
      </c>
      <c r="BM83" s="51">
        <v>1105.1980000000001</v>
      </c>
      <c r="BN83" s="51">
        <v>1109.3610000000001</v>
      </c>
      <c r="BO83" s="51">
        <v>1112</v>
      </c>
      <c r="BP83" s="51">
        <v>1157</v>
      </c>
      <c r="BQ83" s="51">
        <v>1113.8409999999999</v>
      </c>
      <c r="BR83" s="51">
        <v>1115</v>
      </c>
      <c r="BS83" s="51">
        <v>1116.9829999999999</v>
      </c>
      <c r="BT83" s="51">
        <v>1118</v>
      </c>
      <c r="BU83" s="51">
        <v>1119.6410000000001</v>
      </c>
      <c r="BV83" s="51">
        <v>1113.8800000000001</v>
      </c>
      <c r="BW83" s="51">
        <v>1091.876</v>
      </c>
      <c r="BX83" s="51">
        <v>1084.037</v>
      </c>
      <c r="BY83" s="51">
        <v>1084.2570000000001</v>
      </c>
      <c r="BZ83" s="51">
        <v>1078.9760000000001</v>
      </c>
      <c r="CA83" s="51">
        <v>1075.836</v>
      </c>
      <c r="CB83" s="51">
        <v>1076.4179999999999</v>
      </c>
      <c r="CC83" s="51">
        <v>1074.386</v>
      </c>
      <c r="CD83" s="51">
        <v>1069.787</v>
      </c>
      <c r="CE83" s="51">
        <v>1067.0360000000001</v>
      </c>
      <c r="CF83" s="51">
        <v>1065.5840000000001</v>
      </c>
      <c r="CG83" s="51">
        <v>1065.1590000000001</v>
      </c>
      <c r="CH83" s="51">
        <v>1064.893</v>
      </c>
      <c r="CI83" s="51">
        <v>1063.075</v>
      </c>
      <c r="CJ83" s="51">
        <v>1060.0830000000001</v>
      </c>
      <c r="CK83" s="51">
        <v>1060.7860000000001</v>
      </c>
      <c r="CL83" s="51">
        <v>1061.498</v>
      </c>
      <c r="CM83" s="51">
        <v>1056.306</v>
      </c>
      <c r="CN83" s="51">
        <v>1057.1099999999999</v>
      </c>
      <c r="CO83" s="51">
        <v>1056.0250000000001</v>
      </c>
      <c r="CP83" s="51">
        <v>1051.0909999999999</v>
      </c>
      <c r="CQ83" s="51">
        <v>1049.8389999999999</v>
      </c>
      <c r="CR83" s="51">
        <v>1030.21</v>
      </c>
      <c r="CS83" s="51">
        <v>1026.298</v>
      </c>
      <c r="CT83" s="51">
        <v>1018.285</v>
      </c>
      <c r="CU83" s="51">
        <v>984.00099999999998</v>
      </c>
      <c r="CV83" s="51">
        <v>924.63</v>
      </c>
      <c r="CW83" s="51">
        <v>918.45399999999995</v>
      </c>
      <c r="CX83" s="51">
        <v>914.678</v>
      </c>
      <c r="CY83" s="51">
        <v>911.71299999999997</v>
      </c>
      <c r="CZ83" s="51">
        <v>910.89</v>
      </c>
      <c r="DA83" s="51">
        <v>911.423</v>
      </c>
      <c r="DB83" s="51">
        <v>912.59100000000001</v>
      </c>
      <c r="DC83" s="51">
        <v>912.4</v>
      </c>
      <c r="DD83" s="51">
        <v>910.38400000000001</v>
      </c>
      <c r="DE83" s="51">
        <v>910.75099999999998</v>
      </c>
      <c r="DF83" s="51">
        <v>909.55499999999995</v>
      </c>
      <c r="DG83" s="51">
        <v>906.4</v>
      </c>
      <c r="DH83" s="51">
        <v>902.94</v>
      </c>
      <c r="DI83" s="51">
        <v>903.78200000000004</v>
      </c>
      <c r="DJ83" s="51">
        <v>904.73199999999997</v>
      </c>
      <c r="DK83" s="51">
        <v>903.28300000000002</v>
      </c>
      <c r="DL83" s="51">
        <v>902.69899999999996</v>
      </c>
      <c r="DM83" s="111">
        <f t="shared" ref="DM83" si="298">+DL83</f>
        <v>902.69899999999996</v>
      </c>
      <c r="DN83" s="51">
        <v>903.98</v>
      </c>
      <c r="DO83" s="51">
        <v>903.80200000000002</v>
      </c>
      <c r="DP83" s="51">
        <v>904.24800000000005</v>
      </c>
      <c r="DQ83" s="51">
        <v>905.02700000000004</v>
      </c>
      <c r="DR83" s="51">
        <v>904.05899999999997</v>
      </c>
      <c r="DS83" s="51">
        <v>900.6</v>
      </c>
      <c r="DT83" s="51">
        <f t="shared" ref="DT83:DV83" si="299">+DS83</f>
        <v>900.6</v>
      </c>
      <c r="DU83" s="51">
        <f t="shared" si="299"/>
        <v>900.6</v>
      </c>
      <c r="DV83" s="51">
        <f t="shared" si="299"/>
        <v>900.6</v>
      </c>
      <c r="DX83" s="49"/>
      <c r="DY83" s="49"/>
      <c r="DZ83" s="49"/>
      <c r="EA83" s="49"/>
      <c r="EB83" s="49"/>
      <c r="EC83" s="49"/>
      <c r="ED83" s="49"/>
      <c r="EE83" s="49"/>
      <c r="EF83" s="49"/>
      <c r="EG83" s="49"/>
      <c r="EH83" s="49">
        <v>552.47151499999995</v>
      </c>
      <c r="EI83" s="49">
        <v>1117.1099999999999</v>
      </c>
      <c r="EJ83" s="49">
        <v>1130.579</v>
      </c>
      <c r="EK83" s="49">
        <v>1121.4860000000001</v>
      </c>
      <c r="EL83" s="49">
        <v>1106.0550000000001</v>
      </c>
      <c r="EM83" s="49">
        <v>1097.7249999999999</v>
      </c>
      <c r="EN83" s="51">
        <v>1091</v>
      </c>
      <c r="EO83" s="51">
        <v>1085</v>
      </c>
      <c r="EP83" s="51">
        <v>1081</v>
      </c>
      <c r="EQ83" s="51">
        <v>1089</v>
      </c>
      <c r="ER83" s="51">
        <v>1090</v>
      </c>
      <c r="ES83" s="51">
        <v>1086</v>
      </c>
      <c r="ET83" s="51">
        <f>AVERAGE(AY83:BB83)</f>
        <v>1090.6554999999998</v>
      </c>
      <c r="EU83" s="51">
        <f>AVERAGE(BC83:BF83)</f>
        <v>1094.5889999999999</v>
      </c>
      <c r="EV83" s="51">
        <f>AVERAGE(BG83:BJ83)</f>
        <v>1098.39725</v>
      </c>
      <c r="EW83" s="51">
        <f>AVERAGE(BK83:BN83)</f>
        <v>1105.443</v>
      </c>
      <c r="EX83" s="51">
        <f>AVERAGE(BO83:BR83)</f>
        <v>1124.4602500000001</v>
      </c>
      <c r="EY83" s="51">
        <f>AVERAGE(BS83:BV83)</f>
        <v>1117.1260000000002</v>
      </c>
      <c r="EZ83" s="51">
        <f t="shared" ref="EZ83:FC83" si="300">EY83</f>
        <v>1117.1260000000002</v>
      </c>
      <c r="FA83" s="51">
        <f t="shared" si="300"/>
        <v>1117.1260000000002</v>
      </c>
      <c r="FB83" s="51">
        <f t="shared" si="300"/>
        <v>1117.1260000000002</v>
      </c>
      <c r="FC83" s="51">
        <f t="shared" si="300"/>
        <v>1117.1260000000002</v>
      </c>
      <c r="FD83" s="51">
        <v>1052.0229999999999</v>
      </c>
      <c r="FE83" s="51">
        <v>1033.6669999999999</v>
      </c>
      <c r="FF83" s="51">
        <f>AVERAGE(CU83:CX83)</f>
        <v>935.44074999999998</v>
      </c>
      <c r="FG83" s="51">
        <f>AVERAGE(CY83:DB83)</f>
        <v>911.65424999999993</v>
      </c>
      <c r="FH83" s="51">
        <f>AVERAGE(DC83:DF83)</f>
        <v>910.77249999999992</v>
      </c>
      <c r="FI83" s="49">
        <f>AVERAGE(DG83:DJ83)</f>
        <v>904.46350000000007</v>
      </c>
      <c r="FJ83" s="49">
        <f>AVERAGE(DK83:DN83)</f>
        <v>903.16525000000001</v>
      </c>
      <c r="FK83" s="49">
        <f>AVERAGE(DO83:DR83)</f>
        <v>904.28400000000011</v>
      </c>
      <c r="FL83" s="49">
        <f t="shared" ref="FL83:FQ83" si="301">+FK83</f>
        <v>904.28400000000011</v>
      </c>
      <c r="FM83" s="49">
        <f t="shared" si="301"/>
        <v>904.28400000000011</v>
      </c>
      <c r="FN83" s="49">
        <f t="shared" si="301"/>
        <v>904.28400000000011</v>
      </c>
      <c r="FO83" s="49">
        <f t="shared" si="301"/>
        <v>904.28400000000011</v>
      </c>
      <c r="FP83" s="49">
        <f t="shared" si="301"/>
        <v>904.28400000000011</v>
      </c>
      <c r="FQ83" s="49">
        <f t="shared" si="301"/>
        <v>904.28400000000011</v>
      </c>
      <c r="FR83" s="49">
        <f t="shared" ref="FR83" si="302">+FQ83</f>
        <v>904.28400000000011</v>
      </c>
      <c r="FS83" s="49">
        <f t="shared" ref="FS83" si="303">+FR83</f>
        <v>904.28400000000011</v>
      </c>
      <c r="FT83" s="49">
        <f t="shared" ref="FT83" si="304">+FS83</f>
        <v>904.28400000000011</v>
      </c>
      <c r="FU83" s="49">
        <f t="shared" ref="FU83" si="305">+FT83</f>
        <v>904.28400000000011</v>
      </c>
      <c r="FV83" s="49">
        <f>+FU83</f>
        <v>904.28400000000011</v>
      </c>
    </row>
    <row r="84" spans="1:251" x14ac:dyDescent="0.25">
      <c r="A84" s="102"/>
      <c r="AW84" s="51"/>
    </row>
    <row r="85" spans="1:251" s="55" customFormat="1" ht="13" x14ac:dyDescent="0.3">
      <c r="A85" s="107"/>
      <c r="B85" s="55" t="s">
        <v>380</v>
      </c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1">
        <f t="shared" ref="BD85:BV85" si="306">BD71/AZ71-1</f>
        <v>0.59843101721588976</v>
      </c>
      <c r="BE85" s="61">
        <f t="shared" si="306"/>
        <v>0.15215364534775344</v>
      </c>
      <c r="BF85" s="61">
        <f t="shared" si="306"/>
        <v>-0.21831165519000262</v>
      </c>
      <c r="BG85" s="61">
        <f t="shared" si="306"/>
        <v>-0.21628376429876006</v>
      </c>
      <c r="BH85" s="61">
        <f t="shared" si="306"/>
        <v>-0.23718952785858127</v>
      </c>
      <c r="BI85" s="61">
        <f t="shared" si="306"/>
        <v>-0.18168576851211593</v>
      </c>
      <c r="BJ85" s="61">
        <f t="shared" si="306"/>
        <v>0.13885423663755869</v>
      </c>
      <c r="BK85" s="61">
        <f t="shared" si="306"/>
        <v>0.12136636820802149</v>
      </c>
      <c r="BL85" s="61">
        <f t="shared" si="306"/>
        <v>0.12422020142759349</v>
      </c>
      <c r="BM85" s="61">
        <f t="shared" si="306"/>
        <v>1.6684645810859378E-2</v>
      </c>
      <c r="BN85" s="61">
        <f t="shared" si="306"/>
        <v>4.2669362992922233E-2</v>
      </c>
      <c r="BO85" s="61">
        <f t="shared" si="306"/>
        <v>6.4479081214109835E-2</v>
      </c>
      <c r="BP85" s="61">
        <f t="shared" si="306"/>
        <v>8.768939064484127E-2</v>
      </c>
      <c r="BQ85" s="61">
        <f t="shared" si="306"/>
        <v>8.7235622833698789E-2</v>
      </c>
      <c r="BR85" s="61">
        <f t="shared" si="306"/>
        <v>-2.2611197310576814E-2</v>
      </c>
      <c r="BS85" s="61">
        <f t="shared" si="306"/>
        <v>-4.0553500479517668E-2</v>
      </c>
      <c r="BT85" s="61">
        <f t="shared" si="306"/>
        <v>-0.10432126407369491</v>
      </c>
      <c r="BU85" s="61">
        <f t="shared" si="306"/>
        <v>-0.11476716383923491</v>
      </c>
      <c r="BV85" s="61">
        <f t="shared" si="306"/>
        <v>-1.4882674912770955E-2</v>
      </c>
      <c r="BW85" s="61">
        <f t="shared" ref="BW85:BZ85" si="307">BW71/BS71-1</f>
        <v>-7.1397972297715384E-5</v>
      </c>
      <c r="BX85" s="61">
        <f t="shared" si="307"/>
        <v>5.8780466029819012E-2</v>
      </c>
      <c r="BY85" s="61">
        <f t="shared" si="307"/>
        <v>6.0652273771244936E-2</v>
      </c>
      <c r="BZ85" s="61">
        <f t="shared" si="307"/>
        <v>-2.492739999664273E-2</v>
      </c>
      <c r="CA85" s="61">
        <f t="shared" ref="CA85" si="308">CA71/BW71-1</f>
        <v>-0.16403070332024272</v>
      </c>
      <c r="CB85" s="61">
        <f t="shared" ref="CB85" si="309">CB71/BX71-1</f>
        <v>-0.16764760443192728</v>
      </c>
      <c r="CC85" s="61">
        <f t="shared" ref="CC85" si="310">CC71/BY71-1</f>
        <v>-0.155389252676437</v>
      </c>
      <c r="CD85" s="61">
        <f t="shared" ref="CD85" si="311">CD71/BZ71-1</f>
        <v>-0.11835490979203966</v>
      </c>
      <c r="CE85" s="61">
        <f t="shared" ref="CE85:CH85" si="312">CE71/CA71-1</f>
        <v>-8.1996967820462396E-3</v>
      </c>
      <c r="CF85" s="61">
        <f t="shared" si="312"/>
        <v>8.73247426857926E-3</v>
      </c>
      <c r="CG85" s="61">
        <f t="shared" si="312"/>
        <v>1.7249159077856957E-2</v>
      </c>
      <c r="CH85" s="61">
        <f t="shared" si="312"/>
        <v>4.9655360943510418E-2</v>
      </c>
      <c r="CI85" s="61">
        <f t="shared" ref="CI85" si="313">CI71/CE71-1</f>
        <v>4.7451934462936274E-2</v>
      </c>
      <c r="CJ85" s="61">
        <f t="shared" ref="CJ85" si="314">CJ71/CF71-1</f>
        <v>8.5584590354911949E-2</v>
      </c>
      <c r="CK85" s="61">
        <f t="shared" ref="CK85" si="315">CK71/CG71-1</f>
        <v>4.6777022803798696E-2</v>
      </c>
      <c r="CL85" s="61">
        <f t="shared" ref="CL85" si="316">CL71/CH71-1</f>
        <v>7.1601309621251552E-2</v>
      </c>
      <c r="CM85" s="61">
        <f t="shared" ref="CM85" si="317">CM71/CI71-1</f>
        <v>7.4654169492918809E-2</v>
      </c>
      <c r="CN85" s="61">
        <f t="shared" ref="CN85:CU85" si="318">CN71/CJ71-1</f>
        <v>7.761619301361744E-2</v>
      </c>
      <c r="CO85" s="61">
        <f t="shared" si="318"/>
        <v>8.9816437775680491E-2</v>
      </c>
      <c r="CP85" s="61">
        <f t="shared" si="318"/>
        <v>6.9473136012498937E-2</v>
      </c>
      <c r="CQ85" s="61">
        <f t="shared" si="318"/>
        <v>-5.0590057953828205E-2</v>
      </c>
      <c r="CR85" s="61">
        <f t="shared" si="318"/>
        <v>9.115258485998301E-2</v>
      </c>
      <c r="CS85" s="61">
        <f t="shared" si="318"/>
        <v>7.1385648639094912E-2</v>
      </c>
      <c r="CT85" s="61">
        <f t="shared" si="318"/>
        <v>4.5108510396545842E-2</v>
      </c>
      <c r="CU85" s="61">
        <f t="shared" si="318"/>
        <v>2.5847133244691012E-2</v>
      </c>
      <c r="CV85" s="61">
        <f>CV71/CR71-1</f>
        <v>-0.11304128902316191</v>
      </c>
      <c r="CW85" s="61">
        <f>CW71/CS71-1</f>
        <v>-9.6553885745393253E-2</v>
      </c>
      <c r="CX85" s="61">
        <f>CX71/CT71-1</f>
        <v>-5.0445749075886281E-2</v>
      </c>
      <c r="CY85" s="61">
        <f>CY71/CU71-1</f>
        <v>0.15076294652500932</v>
      </c>
      <c r="CZ85" s="61">
        <f t="shared" ref="CZ85:DG85" si="319">CZ71/CV71-1</f>
        <v>-2.4375532216861062E-2</v>
      </c>
      <c r="DA85" s="61">
        <f t="shared" si="319"/>
        <v>4.8205090749734891E-2</v>
      </c>
      <c r="DB85" s="61">
        <f t="shared" si="319"/>
        <v>0.21693545748961363</v>
      </c>
      <c r="DC85" s="61">
        <f t="shared" si="319"/>
        <v>0.16140482610328055</v>
      </c>
      <c r="DD85" s="61">
        <f t="shared" si="319"/>
        <v>0.22558824599047145</v>
      </c>
      <c r="DE85" s="61">
        <f t="shared" si="319"/>
        <v>0.17984182838030871</v>
      </c>
      <c r="DF85" s="61">
        <f t="shared" si="319"/>
        <v>7.5240924181126712E-2</v>
      </c>
      <c r="DG85" s="61">
        <f t="shared" si="319"/>
        <v>0.14759903608792735</v>
      </c>
      <c r="DH85" s="61">
        <f t="shared" ref="DH85" si="320">DH71/DD71-1</f>
        <v>-3.7403560830859939E-2</v>
      </c>
      <c r="DI85" s="61">
        <f t="shared" ref="DI85" si="321">DI71/DE71-1</f>
        <v>2.4878192824450363E-2</v>
      </c>
      <c r="DJ85" s="61">
        <f t="shared" ref="DJ85" si="322">DJ71/DF71-1</f>
        <v>-8.7251090638632789E-2</v>
      </c>
      <c r="DK85" s="61">
        <f t="shared" ref="DK85" si="323">DK71/DG71-1</f>
        <v>-0.10882062969744299</v>
      </c>
      <c r="DL85" s="61">
        <f t="shared" ref="DL85" si="324">DL71/DH71-1</f>
        <v>0.19194192265602084</v>
      </c>
      <c r="DM85" s="61">
        <f t="shared" ref="DM85" si="325">DM71/DI71-1</f>
        <v>0.16382626233522979</v>
      </c>
      <c r="DN85" s="61">
        <f t="shared" ref="DN85" si="326">DN71/DJ71-1</f>
        <v>0.29641600131472612</v>
      </c>
      <c r="DO85" s="61">
        <f>DO71/DK71-1</f>
        <v>0.25977701790178442</v>
      </c>
      <c r="DP85" s="61">
        <f>DP71/DL71-1</f>
        <v>0.4615812341592096</v>
      </c>
      <c r="DQ85" s="61">
        <f>DQ71/DM71-1</f>
        <v>0.41597039127582502</v>
      </c>
      <c r="DR85" s="61">
        <f t="shared" ref="DR85:DV85" si="327">DR71/DN71-1</f>
        <v>0.45438133167129724</v>
      </c>
      <c r="DS85" s="61">
        <f>DS71/DO71-1</f>
        <v>0.45161547848499728</v>
      </c>
      <c r="DT85" s="61">
        <f t="shared" si="327"/>
        <v>0.28735877268263366</v>
      </c>
      <c r="DU85" s="61">
        <f t="shared" si="327"/>
        <v>0.35179383173648504</v>
      </c>
      <c r="DV85" s="61">
        <f t="shared" si="327"/>
        <v>0.23329328765123369</v>
      </c>
      <c r="DW85" s="61"/>
      <c r="DX85" s="61"/>
      <c r="DY85" s="61"/>
      <c r="DZ85" s="61"/>
      <c r="EA85" s="61"/>
      <c r="EB85" s="61"/>
      <c r="EC85" s="61"/>
      <c r="ED85" s="61"/>
      <c r="EE85" s="61"/>
      <c r="EF85" s="61"/>
      <c r="EG85" s="62">
        <f t="shared" ref="EG85:EL85" si="328">EG71/EF71-1</f>
        <v>9.8701548523612681E-2</v>
      </c>
      <c r="EH85" s="62">
        <f t="shared" si="328"/>
        <v>0.13957560053225015</v>
      </c>
      <c r="EI85" s="62">
        <f t="shared" si="328"/>
        <v>7.5205875122910548E-2</v>
      </c>
      <c r="EJ85" s="62">
        <f t="shared" si="328"/>
        <v>0.14137719160367501</v>
      </c>
      <c r="EK85" s="62">
        <f t="shared" si="328"/>
        <v>0.15637793106901854</v>
      </c>
      <c r="EL85" s="62">
        <f t="shared" si="328"/>
        <v>8.2939979213580539E-2</v>
      </c>
      <c r="EM85" s="62">
        <f t="shared" ref="EM85" si="329">EM71/EL71-1</f>
        <v>8.5905087524617896E-2</v>
      </c>
      <c r="EN85" s="62">
        <f t="shared" ref="EN85" si="330">EN71/EM71-1</f>
        <v>7.0593434110953535E-2</v>
      </c>
      <c r="EO85" s="62">
        <f t="shared" ref="EO85" si="331">EO71/EN71-1</f>
        <v>-4.0656978244045017E-2</v>
      </c>
      <c r="EP85" s="62">
        <f t="shared" ref="EP85" si="332">EP71/EO71-1</f>
        <v>0.12807228267689719</v>
      </c>
      <c r="EQ85" s="62">
        <f t="shared" ref="EQ85" si="333">EQ71/EP71-1</f>
        <v>0.10123162495033777</v>
      </c>
      <c r="ER85" s="62">
        <f t="shared" ref="ER85:FD85" si="334">ER71/EQ71-1</f>
        <v>5.7074825023450515E-2</v>
      </c>
      <c r="ES85" s="62">
        <f t="shared" si="334"/>
        <v>7.7372013651876959E-2</v>
      </c>
      <c r="ET85" s="62">
        <f t="shared" si="334"/>
        <v>0.17624101118256408</v>
      </c>
      <c r="EU85" s="62">
        <f t="shared" si="334"/>
        <v>5.6004917803201604E-2</v>
      </c>
      <c r="EV85" s="62">
        <f t="shared" si="334"/>
        <v>6.985394754409513E-2</v>
      </c>
      <c r="EW85" s="62">
        <f t="shared" si="334"/>
        <v>4.383313819191037E-2</v>
      </c>
      <c r="EX85" s="62">
        <f t="shared" si="334"/>
        <v>9.0596424558550881E-2</v>
      </c>
      <c r="EY85" s="62">
        <f t="shared" si="334"/>
        <v>-7.8559971186021871E-2</v>
      </c>
      <c r="EZ85" s="62">
        <f t="shared" si="334"/>
        <v>5.0523827920823772E-2</v>
      </c>
      <c r="FA85" s="62">
        <f t="shared" si="334"/>
        <v>-0.15131678571892138</v>
      </c>
      <c r="FB85" s="62">
        <f t="shared" si="334"/>
        <v>2.1136130752407389E-2</v>
      </c>
      <c r="FC85" s="62">
        <f t="shared" si="334"/>
        <v>7.9534505224584828E-2</v>
      </c>
      <c r="FD85" s="62">
        <f t="shared" si="334"/>
        <v>-7.6269226856090944E-2</v>
      </c>
      <c r="FE85" s="62">
        <f t="shared" ref="FE85:FJ85" si="335">FE71/FD71-1</f>
        <v>7.6043095593315124E-2</v>
      </c>
      <c r="FF85" s="62">
        <f t="shared" si="335"/>
        <v>3.8440243613066638E-2</v>
      </c>
      <c r="FG85" s="62">
        <f t="shared" si="335"/>
        <v>9.9492367592173503E-2</v>
      </c>
      <c r="FH85" s="62">
        <f t="shared" si="335"/>
        <v>0.15397780757052804</v>
      </c>
      <c r="FI85" s="62">
        <f t="shared" si="335"/>
        <v>7.871179617564783E-3</v>
      </c>
      <c r="FJ85" s="62">
        <f t="shared" si="335"/>
        <v>0.12503941642666416</v>
      </c>
      <c r="FK85" s="62">
        <f t="shared" ref="FK85:FV85" si="336">FK71/FJ71-1</f>
        <v>0.40657205498564286</v>
      </c>
      <c r="FL85" s="62">
        <f t="shared" si="336"/>
        <v>0.32229295005392466</v>
      </c>
      <c r="FM85" s="62">
        <f t="shared" si="336"/>
        <v>0.22709222923077732</v>
      </c>
      <c r="FN85" s="62">
        <f t="shared" si="336"/>
        <v>0.25641316435922845</v>
      </c>
      <c r="FO85" s="62">
        <f t="shared" si="336"/>
        <v>0.19427761240791042</v>
      </c>
      <c r="FP85" s="62">
        <f t="shared" si="336"/>
        <v>0.11838620213679696</v>
      </c>
      <c r="FQ85" s="62">
        <f t="shared" si="336"/>
        <v>-9.7983126279646005E-3</v>
      </c>
      <c r="FR85" s="62">
        <f t="shared" si="336"/>
        <v>9.266631414186044E-3</v>
      </c>
      <c r="FS85" s="62">
        <f t="shared" si="336"/>
        <v>2.697034043887081E-2</v>
      </c>
      <c r="FT85" s="62">
        <f t="shared" si="336"/>
        <v>3.4756448244674498E-2</v>
      </c>
      <c r="FU85" s="62">
        <f t="shared" si="336"/>
        <v>4.082156606808196E-2</v>
      </c>
      <c r="FV85" s="62">
        <f t="shared" si="336"/>
        <v>-1.8776271319873028E-2</v>
      </c>
    </row>
    <row r="86" spans="1:251" s="55" customFormat="1" ht="13" x14ac:dyDescent="0.3">
      <c r="A86" s="107"/>
      <c r="B86" s="55" t="s">
        <v>752</v>
      </c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  <c r="DR86" s="61"/>
      <c r="DS86" s="61">
        <v>0.47</v>
      </c>
      <c r="DT86" s="61"/>
      <c r="DU86" s="61"/>
      <c r="DV86" s="61"/>
      <c r="DW86" s="61"/>
      <c r="DX86" s="61"/>
      <c r="DY86" s="61"/>
      <c r="DZ86" s="61"/>
      <c r="EA86" s="61"/>
      <c r="EB86" s="61"/>
      <c r="EC86" s="61"/>
      <c r="ED86" s="61"/>
      <c r="EE86" s="61"/>
      <c r="EF86" s="61"/>
      <c r="EG86" s="61"/>
      <c r="EH86" s="61"/>
      <c r="EI86" s="61"/>
      <c r="EJ86" s="61"/>
      <c r="EK86" s="61"/>
      <c r="EL86" s="61"/>
      <c r="EM86" s="61">
        <v>0.1</v>
      </c>
      <c r="EN86" s="60"/>
      <c r="EO86" s="60"/>
      <c r="EP86" s="60"/>
      <c r="EQ86" s="60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</row>
    <row r="87" spans="1:251" s="38" customFormat="1" x14ac:dyDescent="0.25">
      <c r="A87" s="106"/>
      <c r="B87" s="38" t="s">
        <v>378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>
        <f t="shared" ref="CH87:DR87" si="337">+CH5/CD5-1</f>
        <v>10.029411764705882</v>
      </c>
      <c r="CI87" s="66">
        <f t="shared" si="337"/>
        <v>6.8469945355191246</v>
      </c>
      <c r="CJ87" s="66">
        <f t="shared" si="337"/>
        <v>3.544018058690745</v>
      </c>
      <c r="CK87" s="66">
        <f t="shared" si="337"/>
        <v>2.3052917232021706</v>
      </c>
      <c r="CL87" s="66">
        <f t="shared" si="337"/>
        <v>1.9955555555555557</v>
      </c>
      <c r="CM87" s="66">
        <f t="shared" si="337"/>
        <v>1.5967966573816157</v>
      </c>
      <c r="CN87" s="66">
        <f t="shared" si="337"/>
        <v>1.3854942871336311</v>
      </c>
      <c r="CO87" s="66">
        <f t="shared" si="337"/>
        <v>1.1662561576354684</v>
      </c>
      <c r="CP87" s="66">
        <f t="shared" si="337"/>
        <v>0.9258160237388724</v>
      </c>
      <c r="CQ87" s="66">
        <f t="shared" si="337"/>
        <v>0.81898632341110211</v>
      </c>
      <c r="CR87" s="66">
        <f t="shared" si="337"/>
        <v>0.62390670553935856</v>
      </c>
      <c r="CS87" s="66">
        <f t="shared" si="337"/>
        <v>0.54671214705324989</v>
      </c>
      <c r="CT87" s="66">
        <f t="shared" si="337"/>
        <v>0.42480739599383677</v>
      </c>
      <c r="CU87" s="66">
        <f t="shared" si="337"/>
        <v>0.29691876750700286</v>
      </c>
      <c r="CV87" s="66">
        <f t="shared" si="337"/>
        <v>0.31892793023852284</v>
      </c>
      <c r="CW87" s="66">
        <f t="shared" si="337"/>
        <v>0.23927958833619201</v>
      </c>
      <c r="CX87" s="66">
        <f t="shared" si="337"/>
        <v>0.3064777765761868</v>
      </c>
      <c r="CY87" s="66">
        <f t="shared" si="337"/>
        <v>0.39752188245992959</v>
      </c>
      <c r="CZ87" s="66">
        <f t="shared" si="337"/>
        <v>0.19572192513368969</v>
      </c>
      <c r="DA87" s="66">
        <f t="shared" si="337"/>
        <v>9.4018783984181731E-2</v>
      </c>
      <c r="DB87" s="66">
        <f t="shared" si="337"/>
        <v>0.24360566178296517</v>
      </c>
      <c r="DC87" s="66">
        <f t="shared" si="337"/>
        <v>0.18138929559134542</v>
      </c>
      <c r="DD87" s="66">
        <f t="shared" si="337"/>
        <v>0.24865831842576025</v>
      </c>
      <c r="DE87" s="66">
        <f t="shared" si="337"/>
        <v>0.44596060003614668</v>
      </c>
      <c r="DF87" s="66">
        <f t="shared" si="337"/>
        <v>0.25379392971246006</v>
      </c>
      <c r="DG87" s="66">
        <f t="shared" si="337"/>
        <v>0.19891214541448621</v>
      </c>
      <c r="DH87" s="66">
        <f t="shared" si="337"/>
        <v>0.24505079447772871</v>
      </c>
      <c r="DI87" s="66">
        <f t="shared" si="337"/>
        <v>0.15642772326729593</v>
      </c>
      <c r="DJ87" s="66">
        <f t="shared" si="337"/>
        <v>2.7870680044593144E-2</v>
      </c>
      <c r="DK87" s="66">
        <f t="shared" si="337"/>
        <v>0.13541606845460286</v>
      </c>
      <c r="DL87" s="66">
        <f t="shared" si="337"/>
        <v>-5.1990166849730679E-2</v>
      </c>
      <c r="DM87" s="66">
        <f t="shared" si="337"/>
        <v>-9.5546908776480866E-2</v>
      </c>
      <c r="DN87" s="66">
        <f t="shared" si="337"/>
        <v>-0.13784732982129955</v>
      </c>
      <c r="DO87" s="66">
        <f t="shared" si="337"/>
        <v>-0.26341611451115265</v>
      </c>
      <c r="DP87" s="66">
        <f t="shared" si="337"/>
        <v>-0.3127724137931035</v>
      </c>
      <c r="DQ87" s="66">
        <f t="shared" si="337"/>
        <v>-0.22239483747609934</v>
      </c>
      <c r="DR87" s="66">
        <f t="shared" si="337"/>
        <v>-0.25106331995447184</v>
      </c>
      <c r="DS87" s="66">
        <f t="shared" ref="DS87" si="338">+DS5/DO5-1</f>
        <v>-0.24795715168577892</v>
      </c>
      <c r="DT87" s="66">
        <f t="shared" ref="DT87" si="339">+DT5/DP5-1</f>
        <v>-0.20102761721258822</v>
      </c>
      <c r="DU87" s="66">
        <f t="shared" ref="DU87" si="340">+DU5/DQ5-1</f>
        <v>-0.31212540341171047</v>
      </c>
      <c r="DV87" s="66">
        <f t="shared" ref="DV87" si="341">+DV5/DR5-1</f>
        <v>-0.36394176931690925</v>
      </c>
      <c r="DW87" s="66"/>
      <c r="DX87" s="66"/>
      <c r="DY87" s="66"/>
      <c r="DZ87" s="66"/>
      <c r="EA87" s="66"/>
      <c r="EB87" s="66"/>
      <c r="EC87" s="66"/>
      <c r="ED87" s="66"/>
      <c r="EE87" s="66"/>
      <c r="EF87" s="66"/>
      <c r="EG87" s="66"/>
      <c r="EH87" s="66"/>
      <c r="EI87" s="66"/>
      <c r="EJ87" s="66"/>
      <c r="EK87" s="66"/>
      <c r="EL87" s="66"/>
      <c r="EM87" s="66"/>
      <c r="EN87" s="48"/>
      <c r="EO87" s="48"/>
      <c r="EP87" s="48"/>
      <c r="EQ87" s="48"/>
      <c r="ER87" s="67"/>
      <c r="ES87" s="67"/>
      <c r="ET87" s="67"/>
      <c r="EU87" s="67"/>
      <c r="EV87" s="67"/>
      <c r="EW87" s="67"/>
      <c r="EX87" s="96"/>
      <c r="EY87" s="96"/>
      <c r="EZ87" s="96"/>
      <c r="FA87" s="96"/>
      <c r="FB87" s="96">
        <f t="shared" ref="FB87:FJ87" si="342">+FB5/FA5-1</f>
        <v>23.3921568627451</v>
      </c>
      <c r="FC87" s="96">
        <f t="shared" si="342"/>
        <v>2.719855305466238</v>
      </c>
      <c r="FD87" s="96">
        <f t="shared" si="342"/>
        <v>1.1931928687196112</v>
      </c>
      <c r="FE87" s="96">
        <f t="shared" si="342"/>
        <v>0.57606660754754158</v>
      </c>
      <c r="FF87" s="96">
        <f t="shared" si="342"/>
        <v>0.29030039698665222</v>
      </c>
      <c r="FG87" s="96">
        <f t="shared" si="342"/>
        <v>0.22782111536411676</v>
      </c>
      <c r="FH87" s="96">
        <f t="shared" si="342"/>
        <v>0.2769425042421374</v>
      </c>
      <c r="FI87" s="96">
        <f t="shared" si="342"/>
        <v>0.14957198924565041</v>
      </c>
      <c r="FJ87" s="96">
        <f t="shared" si="342"/>
        <v>-4.1304873786929819E-2</v>
      </c>
      <c r="FK87" s="96">
        <f t="shared" ref="FK87" si="343">+FK5/FJ5-1</f>
        <v>-0.26344199088678588</v>
      </c>
      <c r="FL87" s="96">
        <f t="shared" ref="FL87" si="344">+FL5/FK5-1</f>
        <v>-0.28032740078043206</v>
      </c>
      <c r="FM87" s="96">
        <f t="shared" ref="FM87" si="345">+FM5/FL5-1</f>
        <v>-0.19999999999999996</v>
      </c>
      <c r="FN87" s="96">
        <f t="shared" ref="FN87" si="346">+FN5/FM5-1</f>
        <v>-0.19999999999999996</v>
      </c>
      <c r="FO87" s="96">
        <f t="shared" ref="FO87" si="347">+FO5/FN5-1</f>
        <v>-0.19999999999999996</v>
      </c>
      <c r="FP87" s="96">
        <f t="shared" ref="FP87" si="348">+FP5/FO5-1</f>
        <v>-0.19999999999999996</v>
      </c>
      <c r="FQ87" s="96">
        <f t="shared" ref="FQ87" si="349">+FQ5/FP5-1</f>
        <v>-0.19999999999999996</v>
      </c>
      <c r="FR87" s="96">
        <f t="shared" ref="FR87" si="350">+FR5/FQ5-1</f>
        <v>-0.19999999999999996</v>
      </c>
      <c r="FS87" s="96">
        <f t="shared" ref="FS87" si="351">+FS5/FR5-1</f>
        <v>-0.19999999999999996</v>
      </c>
      <c r="FT87" s="96">
        <f t="shared" ref="FT87" si="352">+FT5/FS5-1</f>
        <v>-0.19999999999999996</v>
      </c>
      <c r="FU87" s="96">
        <f t="shared" ref="FU87" si="353">+FU5/FT5-1</f>
        <v>-0.19999999999999996</v>
      </c>
      <c r="FV87" s="96">
        <f t="shared" ref="FV87" si="354">+FV5/FU5-1</f>
        <v>-0.19999999999999996</v>
      </c>
    </row>
    <row r="88" spans="1:251" s="38" customFormat="1" x14ac:dyDescent="0.25">
      <c r="A88" s="106"/>
      <c r="B88" s="38" t="s">
        <v>706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  <c r="CC88" s="66"/>
      <c r="CD88" s="66"/>
      <c r="CE88" s="66"/>
      <c r="CF88" s="66"/>
      <c r="CG88" s="66"/>
      <c r="CH88" s="66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/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/>
      <c r="DG88" s="66"/>
      <c r="DH88" s="66"/>
      <c r="DI88" s="66"/>
      <c r="DJ88" s="66"/>
      <c r="DK88" s="66"/>
      <c r="DL88" s="66"/>
      <c r="DM88" s="66"/>
      <c r="DN88" s="66"/>
      <c r="DO88" s="66">
        <f>DO6/DK6-1</f>
        <v>2.177660510114336</v>
      </c>
      <c r="DP88" s="66">
        <f>DP6/DL6-1</f>
        <v>2.1548433193834846</v>
      </c>
      <c r="DQ88" s="66">
        <f>DQ6/DM6-1</f>
        <v>1.2086851628468032</v>
      </c>
      <c r="DR88" s="66">
        <f>DR6/DN6-1</f>
        <v>0.60051686615886846</v>
      </c>
      <c r="DS88" s="66">
        <f t="shared" ref="DS88:DV88" si="355">DS6/DO6-1</f>
        <v>1.126653750345973</v>
      </c>
      <c r="DT88" s="66">
        <f t="shared" si="355"/>
        <v>0.43710366248220534</v>
      </c>
      <c r="DU88" s="66">
        <f t="shared" si="355"/>
        <v>0.5876248915732325</v>
      </c>
      <c r="DV88" s="66">
        <f t="shared" si="355"/>
        <v>0.54154273250049578</v>
      </c>
      <c r="DW88" s="66"/>
      <c r="DX88" s="66"/>
      <c r="DY88" s="66"/>
      <c r="DZ88" s="66"/>
      <c r="EA88" s="66"/>
      <c r="EB88" s="66"/>
      <c r="EC88" s="66"/>
      <c r="ED88" s="66"/>
      <c r="EE88" s="66"/>
      <c r="EF88" s="66"/>
      <c r="EG88" s="66"/>
      <c r="EH88" s="66"/>
      <c r="EI88" s="66"/>
      <c r="EJ88" s="66"/>
      <c r="EK88" s="66"/>
      <c r="EL88" s="66"/>
      <c r="EM88" s="66"/>
      <c r="EN88" s="48"/>
      <c r="EO88" s="48"/>
      <c r="EP88" s="48"/>
      <c r="EQ88" s="48"/>
      <c r="ER88" s="67"/>
      <c r="ES88" s="67"/>
      <c r="ET88" s="67"/>
      <c r="EU88" s="67"/>
      <c r="EV88" s="67"/>
      <c r="EW88" s="67"/>
      <c r="EX88" s="67"/>
      <c r="EY88" s="67"/>
      <c r="EZ88" s="67"/>
      <c r="FA88" s="67"/>
      <c r="FB88" s="67"/>
      <c r="FC88" s="67"/>
      <c r="FD88" s="67"/>
      <c r="FE88" s="67"/>
      <c r="FF88" s="67"/>
      <c r="FG88" s="67"/>
      <c r="FH88" s="67"/>
      <c r="FK88" s="96">
        <f>FK6/FJ6-1</f>
        <v>1.2351106893145589</v>
      </c>
      <c r="FL88" s="96">
        <f t="shared" ref="FL88:FV88" si="356">FL6/FK6-1</f>
        <v>0.61759430160917161</v>
      </c>
      <c r="FM88" s="96">
        <f t="shared" si="356"/>
        <v>0.39999999999999991</v>
      </c>
      <c r="FN88" s="96">
        <f t="shared" si="356"/>
        <v>0.39999999999999991</v>
      </c>
      <c r="FO88" s="96">
        <f t="shared" si="356"/>
        <v>0.19999999999999996</v>
      </c>
      <c r="FP88" s="96">
        <f t="shared" si="356"/>
        <v>0.10000000000000009</v>
      </c>
      <c r="FQ88" s="96">
        <f t="shared" si="356"/>
        <v>0.10000000000000009</v>
      </c>
      <c r="FR88" s="96">
        <f t="shared" si="356"/>
        <v>-0.10000000000000009</v>
      </c>
      <c r="FS88" s="96">
        <f t="shared" si="356"/>
        <v>-9.9999999999999978E-2</v>
      </c>
      <c r="FT88" s="96">
        <f t="shared" si="356"/>
        <v>-9.9999999999999978E-2</v>
      </c>
      <c r="FU88" s="96">
        <f t="shared" si="356"/>
        <v>-0.10000000000000009</v>
      </c>
      <c r="FV88" s="96">
        <f t="shared" si="356"/>
        <v>-9.9999999999999978E-2</v>
      </c>
    </row>
    <row r="89" spans="1:251" s="38" customFormat="1" x14ac:dyDescent="0.25">
      <c r="A89" s="106"/>
      <c r="B89" s="38" t="s">
        <v>489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>
        <f t="shared" ref="CN89:DR89" si="357">+CN11/CJ11-1</f>
        <v>6.1865284974093253</v>
      </c>
      <c r="CO89" s="66">
        <f t="shared" si="357"/>
        <v>3.6553846153846159</v>
      </c>
      <c r="CP89" s="66">
        <f t="shared" si="357"/>
        <v>1.8140293637846656</v>
      </c>
      <c r="CQ89" s="66">
        <f t="shared" si="357"/>
        <v>0.51656314699792971</v>
      </c>
      <c r="CR89" s="66">
        <f t="shared" si="357"/>
        <v>0.58687815428983425</v>
      </c>
      <c r="CS89" s="66">
        <f t="shared" si="357"/>
        <v>0.74421678783873069</v>
      </c>
      <c r="CT89" s="66">
        <f t="shared" si="357"/>
        <v>0.77971014492753632</v>
      </c>
      <c r="CU89" s="66">
        <f t="shared" si="357"/>
        <v>0.72354948805460761</v>
      </c>
      <c r="CV89" s="66">
        <f t="shared" si="357"/>
        <v>0.607451158564289</v>
      </c>
      <c r="CW89" s="66">
        <f t="shared" si="357"/>
        <v>0.28836680560818495</v>
      </c>
      <c r="CX89" s="66">
        <f t="shared" si="357"/>
        <v>0.36840390879478835</v>
      </c>
      <c r="CY89" s="66">
        <f t="shared" si="357"/>
        <v>0.75643564356435644</v>
      </c>
      <c r="CZ89" s="66">
        <f t="shared" si="357"/>
        <v>0.11701526286037311</v>
      </c>
      <c r="DA89" s="66">
        <f t="shared" si="357"/>
        <v>0.33676470588235285</v>
      </c>
      <c r="DB89" s="66">
        <f t="shared" si="357"/>
        <v>0.17900499880980725</v>
      </c>
      <c r="DC89" s="66">
        <f t="shared" si="357"/>
        <v>-9.0868094701240132E-2</v>
      </c>
      <c r="DD89" s="66">
        <f t="shared" si="357"/>
        <v>0.44003036437246967</v>
      </c>
      <c r="DE89" s="66">
        <f t="shared" si="357"/>
        <v>0.304950495049505</v>
      </c>
      <c r="DF89" s="66">
        <f t="shared" si="357"/>
        <v>0.30708661417322825</v>
      </c>
      <c r="DG89" s="66">
        <f t="shared" si="357"/>
        <v>0.21056547619047628</v>
      </c>
      <c r="DH89" s="66">
        <f t="shared" si="357"/>
        <v>6.519065190651907E-2</v>
      </c>
      <c r="DI89" s="66">
        <f t="shared" si="357"/>
        <v>0.14634968807958182</v>
      </c>
      <c r="DJ89" s="66">
        <f t="shared" si="357"/>
        <v>9.3296261970960748E-2</v>
      </c>
      <c r="DK89" s="66">
        <f t="shared" si="357"/>
        <v>7.9696783446015163E-2</v>
      </c>
      <c r="DL89" s="66">
        <f t="shared" si="357"/>
        <v>0.16116793137578345</v>
      </c>
      <c r="DM89" s="66">
        <f t="shared" si="357"/>
        <v>9.4572731284012557E-2</v>
      </c>
      <c r="DN89" s="66">
        <f t="shared" si="357"/>
        <v>0.10850522746538571</v>
      </c>
      <c r="DO89" s="66">
        <f t="shared" si="357"/>
        <v>0.14629981024667926</v>
      </c>
      <c r="DP89" s="66">
        <f t="shared" si="357"/>
        <v>0.17161528626225331</v>
      </c>
      <c r="DQ89" s="66">
        <f t="shared" si="357"/>
        <v>0.18194033861865089</v>
      </c>
      <c r="DR89" s="66">
        <f t="shared" si="357"/>
        <v>0.21335712464950296</v>
      </c>
      <c r="DS89" s="66">
        <f t="shared" ref="DS89:DS90" si="358">+DS11/DO11-1</f>
        <v>0.26121503062406881</v>
      </c>
      <c r="DT89" s="66">
        <f t="shared" ref="DT89:DT90" si="359">+DT11/DP11-1</f>
        <v>0.19999999999999996</v>
      </c>
      <c r="DU89" s="66">
        <f t="shared" ref="DU89:DU90" si="360">+DU11/DQ11-1</f>
        <v>0.19999999999999996</v>
      </c>
      <c r="DV89" s="66">
        <f t="shared" ref="DV89:DV90" si="361">+DV11/DR11-1</f>
        <v>0.19999999999999996</v>
      </c>
      <c r="DW89" s="66"/>
      <c r="DX89" s="66"/>
      <c r="DY89" s="66"/>
      <c r="DZ89" s="66"/>
      <c r="EA89" s="66"/>
      <c r="EB89" s="66"/>
      <c r="EC89" s="66"/>
      <c r="ED89" s="66"/>
      <c r="EE89" s="66"/>
      <c r="EF89" s="66"/>
      <c r="EG89" s="66"/>
      <c r="EH89" s="66"/>
      <c r="EI89" s="66"/>
      <c r="EJ89" s="66"/>
      <c r="EK89" s="66"/>
      <c r="EL89" s="66"/>
      <c r="EM89" s="66"/>
      <c r="EN89" s="48"/>
      <c r="EO89" s="48"/>
      <c r="EP89" s="48"/>
      <c r="EQ89" s="48"/>
      <c r="ER89" s="67"/>
      <c r="ES89" s="67"/>
      <c r="ET89" s="67"/>
      <c r="EU89" s="67"/>
      <c r="EV89" s="67"/>
      <c r="EW89" s="67"/>
      <c r="EX89" s="67"/>
      <c r="EY89" s="67"/>
      <c r="EZ89" s="67"/>
      <c r="FA89" s="67"/>
      <c r="FB89" s="67"/>
      <c r="FC89" s="96"/>
      <c r="FD89" s="96"/>
      <c r="FE89" s="96">
        <f t="shared" ref="FE89:FV89" si="362">+FE11/FD11-1</f>
        <v>0.67680200321945971</v>
      </c>
      <c r="FF89" s="96">
        <f t="shared" si="362"/>
        <v>0.45749333333333353</v>
      </c>
      <c r="FG89" s="96">
        <f t="shared" si="362"/>
        <v>0.3089139344262295</v>
      </c>
      <c r="FH89" s="96">
        <f t="shared" si="362"/>
        <v>0.23723790886217522</v>
      </c>
      <c r="FI89" s="96">
        <f t="shared" si="362"/>
        <v>0.12165582067968184</v>
      </c>
      <c r="FJ89" s="96">
        <f t="shared" si="362"/>
        <v>0.11188557614826755</v>
      </c>
      <c r="FK89" s="96">
        <f t="shared" si="362"/>
        <v>0.18143276443091638</v>
      </c>
      <c r="FL89" s="96">
        <f t="shared" si="362"/>
        <v>0.21134216660532457</v>
      </c>
      <c r="FM89" s="96">
        <f t="shared" si="362"/>
        <v>0.19999999999999996</v>
      </c>
      <c r="FN89" s="96">
        <f t="shared" si="362"/>
        <v>0.10000000000000009</v>
      </c>
      <c r="FO89" s="96">
        <f t="shared" si="362"/>
        <v>0.10000000000000009</v>
      </c>
      <c r="FP89" s="96">
        <f t="shared" si="362"/>
        <v>0.10000000000000009</v>
      </c>
      <c r="FQ89" s="96">
        <f t="shared" si="362"/>
        <v>5.0000000000000044E-2</v>
      </c>
      <c r="FR89" s="96">
        <f t="shared" si="362"/>
        <v>5.0000000000000044E-2</v>
      </c>
      <c r="FS89" s="96">
        <f t="shared" si="362"/>
        <v>5.0000000000000044E-2</v>
      </c>
      <c r="FT89" s="96">
        <f t="shared" si="362"/>
        <v>5.0000000000000044E-2</v>
      </c>
      <c r="FU89" s="96">
        <f t="shared" si="362"/>
        <v>5.0000000000000044E-2</v>
      </c>
      <c r="FV89" s="96">
        <f t="shared" si="362"/>
        <v>5.0000000000000044E-2</v>
      </c>
    </row>
    <row r="90" spans="1:251" s="38" customFormat="1" x14ac:dyDescent="0.25">
      <c r="A90" s="106"/>
      <c r="B90" s="38" t="s">
        <v>490</v>
      </c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  <c r="CC90" s="66"/>
      <c r="CD90" s="66"/>
      <c r="CE90" s="66"/>
      <c r="CF90" s="66"/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/>
      <c r="CT90" s="66">
        <f t="shared" ref="CT90:DR90" si="363">+CT12/CP12-1</f>
        <v>2.9571428571428569</v>
      </c>
      <c r="CU90" s="66">
        <f t="shared" si="363"/>
        <v>2.6835016835016838</v>
      </c>
      <c r="CV90" s="66">
        <f t="shared" si="363"/>
        <v>1.3206239168110918</v>
      </c>
      <c r="CW90" s="66">
        <f t="shared" si="363"/>
        <v>0.86035502958579868</v>
      </c>
      <c r="CX90" s="66">
        <f t="shared" si="363"/>
        <v>1.1552346570397112</v>
      </c>
      <c r="CY90" s="66">
        <f t="shared" si="363"/>
        <v>0.71846435100548445</v>
      </c>
      <c r="CZ90" s="66">
        <f t="shared" si="363"/>
        <v>0.55787901418969366</v>
      </c>
      <c r="DA90" s="66">
        <f t="shared" si="363"/>
        <v>0.49109414758269732</v>
      </c>
      <c r="DB90" s="66">
        <f t="shared" si="363"/>
        <v>0.57230597431602481</v>
      </c>
      <c r="DC90" s="66">
        <f t="shared" si="363"/>
        <v>0.43085106382978733</v>
      </c>
      <c r="DD90" s="66">
        <f t="shared" si="363"/>
        <v>0.63614573346116976</v>
      </c>
      <c r="DE90" s="66">
        <f t="shared" si="363"/>
        <v>0.43131399317406149</v>
      </c>
      <c r="DF90" s="66">
        <f t="shared" si="363"/>
        <v>0.43501420454545459</v>
      </c>
      <c r="DG90" s="66">
        <f t="shared" si="363"/>
        <v>0.7449814126394052</v>
      </c>
      <c r="DH90" s="66">
        <f t="shared" si="363"/>
        <v>0.72428948139466742</v>
      </c>
      <c r="DI90" s="66">
        <f t="shared" si="363"/>
        <v>0.84113263785394943</v>
      </c>
      <c r="DJ90" s="66">
        <f t="shared" si="363"/>
        <v>0.99950507300173208</v>
      </c>
      <c r="DK90" s="66">
        <f t="shared" si="363"/>
        <v>0.59970174691095024</v>
      </c>
      <c r="DL90" s="66">
        <f t="shared" si="363"/>
        <v>0.57485131690739166</v>
      </c>
      <c r="DM90" s="66">
        <f t="shared" si="363"/>
        <v>0.68398899141978298</v>
      </c>
      <c r="DN90" s="66">
        <f t="shared" si="363"/>
        <v>0.41757425742574261</v>
      </c>
      <c r="DO90" s="66">
        <f t="shared" si="363"/>
        <v>0.39872153415900913</v>
      </c>
      <c r="DP90" s="66">
        <f t="shared" si="363"/>
        <v>0.43709538195943054</v>
      </c>
      <c r="DQ90" s="66">
        <f t="shared" si="363"/>
        <v>0.31638146510286469</v>
      </c>
      <c r="DR90" s="66">
        <f t="shared" si="363"/>
        <v>0.35777894185437398</v>
      </c>
      <c r="DS90" s="66">
        <f t="shared" si="358"/>
        <v>0.1033990288489004</v>
      </c>
      <c r="DT90" s="66">
        <f t="shared" si="359"/>
        <v>0.10000000000000009</v>
      </c>
      <c r="DU90" s="66">
        <f t="shared" si="360"/>
        <v>0.10000000000000009</v>
      </c>
      <c r="DV90" s="66">
        <f t="shared" si="361"/>
        <v>0.10000000000000009</v>
      </c>
      <c r="DW90" s="66"/>
      <c r="DX90" s="66"/>
      <c r="DY90" s="66"/>
      <c r="DZ90" s="66"/>
      <c r="EA90" s="66"/>
      <c r="EB90" s="66"/>
      <c r="EC90" s="66"/>
      <c r="ED90" s="66"/>
      <c r="EE90" s="66"/>
      <c r="EF90" s="66"/>
      <c r="EG90" s="66"/>
      <c r="EH90" s="66"/>
      <c r="EI90" s="66"/>
      <c r="EJ90" s="66"/>
      <c r="EK90" s="66"/>
      <c r="EL90" s="66"/>
      <c r="EM90" s="66"/>
      <c r="EN90" s="48"/>
      <c r="EO90" s="48"/>
      <c r="EP90" s="48"/>
      <c r="EQ90" s="48"/>
      <c r="ER90" s="67"/>
      <c r="ES90" s="67"/>
      <c r="ET90" s="67"/>
      <c r="EU90" s="67"/>
      <c r="EV90" s="67"/>
      <c r="EW90" s="67"/>
      <c r="EX90" s="67"/>
      <c r="EY90" s="67"/>
      <c r="EZ90" s="67"/>
      <c r="FA90" s="67"/>
      <c r="FB90" s="67"/>
      <c r="FC90" s="67"/>
      <c r="FD90" s="67"/>
      <c r="FE90" s="96">
        <f t="shared" ref="FE90:FV90" si="364">+FE12/FD12-1</f>
        <v>11.142857142857142</v>
      </c>
      <c r="FF90" s="96">
        <f t="shared" si="364"/>
        <v>1.2729411764705882</v>
      </c>
      <c r="FG90" s="96">
        <f t="shared" si="364"/>
        <v>0.57453416149068315</v>
      </c>
      <c r="FH90" s="96">
        <f t="shared" si="364"/>
        <v>0.47918036379574858</v>
      </c>
      <c r="FI90" s="96">
        <f t="shared" si="364"/>
        <v>0.83983998814727023</v>
      </c>
      <c r="FJ90" s="96">
        <f t="shared" si="364"/>
        <v>0.55552423900789139</v>
      </c>
      <c r="FK90" s="96">
        <f t="shared" si="364"/>
        <v>0.3736184091320891</v>
      </c>
      <c r="FL90" s="96">
        <f t="shared" si="364"/>
        <v>0.10067273446774849</v>
      </c>
      <c r="FM90" s="96">
        <f t="shared" si="364"/>
        <v>1.0000000000000009E-2</v>
      </c>
      <c r="FN90" s="96">
        <f t="shared" si="364"/>
        <v>1.0000000000000009E-2</v>
      </c>
      <c r="FO90" s="96">
        <f t="shared" si="364"/>
        <v>1.0000000000000009E-2</v>
      </c>
      <c r="FP90" s="96">
        <f t="shared" si="364"/>
        <v>1.0000000000000009E-2</v>
      </c>
      <c r="FQ90" s="96">
        <f t="shared" si="364"/>
        <v>-0.9</v>
      </c>
      <c r="FR90" s="96">
        <f t="shared" si="364"/>
        <v>-0.9</v>
      </c>
      <c r="FS90" s="96">
        <f t="shared" si="364"/>
        <v>-0.9</v>
      </c>
      <c r="FT90" s="96">
        <f t="shared" si="364"/>
        <v>-0.9</v>
      </c>
      <c r="FU90" s="96">
        <f t="shared" si="364"/>
        <v>-0.9</v>
      </c>
      <c r="FV90" s="96">
        <f t="shared" si="364"/>
        <v>-0.9</v>
      </c>
    </row>
    <row r="91" spans="1:251" s="38" customFormat="1" x14ac:dyDescent="0.25">
      <c r="A91" s="106"/>
      <c r="B91" s="38" t="s">
        <v>491</v>
      </c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66"/>
      <c r="CF91" s="66"/>
      <c r="CG91" s="66"/>
      <c r="CH91" s="66"/>
      <c r="CI91" s="66">
        <f t="shared" ref="CI91:CS91" si="365">+CI14/CE14-1</f>
        <v>0.97927461139896388</v>
      </c>
      <c r="CJ91" s="66">
        <f t="shared" si="365"/>
        <v>2.612612612612613</v>
      </c>
      <c r="CK91" s="66">
        <f t="shared" si="365"/>
        <v>2.0844155844155843</v>
      </c>
      <c r="CL91" s="66">
        <f t="shared" si="365"/>
        <v>4.212328767123287</v>
      </c>
      <c r="CM91" s="66">
        <f t="shared" si="365"/>
        <v>0.93717277486910988</v>
      </c>
      <c r="CN91" s="66">
        <f t="shared" si="365"/>
        <v>1.57356608478803</v>
      </c>
      <c r="CO91" s="66">
        <f t="shared" si="365"/>
        <v>1.6778947368421053</v>
      </c>
      <c r="CP91" s="66">
        <f t="shared" si="365"/>
        <v>0.88173455978975035</v>
      </c>
      <c r="CQ91" s="66">
        <f t="shared" si="365"/>
        <v>1.0405405405405403</v>
      </c>
      <c r="CR91" s="66">
        <f t="shared" si="365"/>
        <v>0.42635658914728669</v>
      </c>
      <c r="CS91" s="66">
        <f t="shared" si="365"/>
        <v>0.31210691823899372</v>
      </c>
      <c r="CT91" s="66">
        <f t="shared" ref="CT91:DC91" si="366">+CT14/CP14-1</f>
        <v>0.34916201117318435</v>
      </c>
      <c r="CU91" s="66">
        <f t="shared" si="366"/>
        <v>0.34834437086092707</v>
      </c>
      <c r="CV91" s="66">
        <f t="shared" si="366"/>
        <v>0.57540760869565233</v>
      </c>
      <c r="CW91" s="66">
        <f t="shared" si="366"/>
        <v>0.44218094667465535</v>
      </c>
      <c r="CX91" s="66">
        <f t="shared" si="366"/>
        <v>0.38716356107660466</v>
      </c>
      <c r="CY91" s="66">
        <f t="shared" si="366"/>
        <v>0.31385068762278978</v>
      </c>
      <c r="CZ91" s="66">
        <f t="shared" si="366"/>
        <v>0.1297973264338077</v>
      </c>
      <c r="DA91" s="66">
        <f t="shared" si="366"/>
        <v>0.29123390112172842</v>
      </c>
      <c r="DB91" s="66">
        <f t="shared" si="366"/>
        <v>0.17014925373134338</v>
      </c>
      <c r="DC91" s="66">
        <f t="shared" si="366"/>
        <v>0.16635514018691588</v>
      </c>
      <c r="DD91" s="66">
        <f t="shared" ref="DD91:DM91" si="367">+DD14/CZ14-1</f>
        <v>0.36068702290076327</v>
      </c>
      <c r="DE91" s="66">
        <f t="shared" si="367"/>
        <v>0.25611325611325597</v>
      </c>
      <c r="DF91" s="66">
        <f t="shared" si="367"/>
        <v>0.37723214285714279</v>
      </c>
      <c r="DG91" s="66">
        <f t="shared" si="367"/>
        <v>0.34423076923076912</v>
      </c>
      <c r="DH91" s="66">
        <f t="shared" si="367"/>
        <v>0.29312762973352036</v>
      </c>
      <c r="DI91" s="66">
        <f t="shared" si="367"/>
        <v>0.46849385245901631</v>
      </c>
      <c r="DJ91" s="66">
        <f t="shared" si="367"/>
        <v>0.41768927992590865</v>
      </c>
      <c r="DK91" s="66">
        <f t="shared" si="367"/>
        <v>0.37696709585121613</v>
      </c>
      <c r="DL91" s="66">
        <f t="shared" si="367"/>
        <v>0.44967462039045536</v>
      </c>
      <c r="DM91" s="66">
        <f t="shared" si="367"/>
        <v>0.22239665096807948</v>
      </c>
      <c r="DN91" s="66">
        <f t="shared" ref="DN91:DR91" si="368">+DN14/DJ14-1</f>
        <v>0.30344602319124636</v>
      </c>
      <c r="DO91" s="66">
        <f t="shared" si="368"/>
        <v>0.18874458874458866</v>
      </c>
      <c r="DP91" s="66">
        <f t="shared" si="368"/>
        <v>0.15157863235074087</v>
      </c>
      <c r="DQ91" s="66">
        <f t="shared" si="368"/>
        <v>-2.0547945205479423E-2</v>
      </c>
      <c r="DR91" s="66">
        <f t="shared" si="368"/>
        <v>0.50156621977195837</v>
      </c>
      <c r="DS91" s="66">
        <f t="shared" ref="DS91" si="369">+DS14/DO14-1</f>
        <v>0.47764020393299345</v>
      </c>
      <c r="DT91" s="66">
        <f t="shared" ref="DT91" si="370">+DT14/DP14-1</f>
        <v>0.34407484407484423</v>
      </c>
      <c r="DU91" s="66">
        <f t="shared" ref="DU91" si="371">+DU14/DQ14-1</f>
        <v>0.53613053613053641</v>
      </c>
      <c r="DV91" s="66">
        <f t="shared" ref="DV91" si="372">+DV14/DR14-1</f>
        <v>-0.10347129506008013</v>
      </c>
      <c r="DW91" s="66"/>
      <c r="DX91" s="66"/>
      <c r="DY91" s="66"/>
      <c r="DZ91" s="66"/>
      <c r="EA91" s="66"/>
      <c r="EB91" s="66"/>
      <c r="EC91" s="66"/>
      <c r="ED91" s="66"/>
      <c r="EE91" s="66"/>
      <c r="EF91" s="66"/>
      <c r="EG91" s="66"/>
      <c r="EH91" s="66"/>
      <c r="EI91" s="66"/>
      <c r="EJ91" s="66"/>
      <c r="EK91" s="66"/>
      <c r="EL91" s="66"/>
      <c r="EM91" s="66"/>
      <c r="EN91" s="48"/>
      <c r="EO91" s="48"/>
      <c r="EP91" s="48"/>
      <c r="EQ91" s="48"/>
      <c r="ER91" s="67"/>
      <c r="ES91" s="67"/>
      <c r="ET91" s="67"/>
      <c r="EU91" s="67"/>
      <c r="EV91" s="67"/>
      <c r="EW91" s="67"/>
      <c r="EX91" s="67"/>
      <c r="EY91" s="67"/>
      <c r="EZ91" s="67"/>
      <c r="FA91" s="67"/>
      <c r="FB91" s="67"/>
      <c r="FC91" s="67"/>
      <c r="FD91" s="67"/>
      <c r="FE91" s="67"/>
      <c r="FF91" s="67"/>
      <c r="FG91" s="67"/>
      <c r="FH91" s="67"/>
    </row>
    <row r="92" spans="1:251" s="38" customFormat="1" x14ac:dyDescent="0.25">
      <c r="A92" s="106"/>
      <c r="B92" s="38" t="s">
        <v>56</v>
      </c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66">
        <f t="shared" ref="AU92:BY92" si="373">AU82/AQ82-1</f>
        <v>0.24227833061457504</v>
      </c>
      <c r="AV92" s="66">
        <f t="shared" si="373"/>
        <v>0.54656637892619053</v>
      </c>
      <c r="AW92" s="66">
        <f t="shared" si="373"/>
        <v>0.33969062540056982</v>
      </c>
      <c r="AX92" s="66">
        <f t="shared" si="373"/>
        <v>2.3042448332134815</v>
      </c>
      <c r="AY92" s="66">
        <f t="shared" si="373"/>
        <v>0.78264619506510846</v>
      </c>
      <c r="AZ92" s="66">
        <f t="shared" si="373"/>
        <v>-8.2925871665907591E-2</v>
      </c>
      <c r="BA92" s="66">
        <f t="shared" si="373"/>
        <v>2.2085042842024705</v>
      </c>
      <c r="BB92" s="66">
        <f t="shared" si="373"/>
        <v>0.1870513600647703</v>
      </c>
      <c r="BC92" s="66">
        <f t="shared" si="373"/>
        <v>1.731425100430636</v>
      </c>
      <c r="BD92" s="66">
        <f t="shared" si="373"/>
        <v>3.7362930227057349</v>
      </c>
      <c r="BE92" s="66">
        <f t="shared" si="373"/>
        <v>0.17487628448498183</v>
      </c>
      <c r="BF92" s="66">
        <f t="shared" si="373"/>
        <v>-0.52026113261404561</v>
      </c>
      <c r="BG92" s="66">
        <f t="shared" si="373"/>
        <v>-0.57728356037442752</v>
      </c>
      <c r="BH92" s="66">
        <f t="shared" si="373"/>
        <v>-0.60384987633693532</v>
      </c>
      <c r="BI92" s="66">
        <f t="shared" si="373"/>
        <v>-0.45386568723743781</v>
      </c>
      <c r="BJ92" s="66">
        <f t="shared" si="373"/>
        <v>-0.17935478589422826</v>
      </c>
      <c r="BK92" s="66">
        <f t="shared" si="373"/>
        <v>0.1144033426114861</v>
      </c>
      <c r="BL92" s="66">
        <f t="shared" si="373"/>
        <v>0.28860862968049394</v>
      </c>
      <c r="BM92" s="66">
        <f t="shared" si="373"/>
        <v>-0.10728645122357194</v>
      </c>
      <c r="BN92" s="66">
        <f t="shared" si="373"/>
        <v>0.24088397214917667</v>
      </c>
      <c r="BO92" s="66">
        <f t="shared" si="373"/>
        <v>5.1382705842108578E-2</v>
      </c>
      <c r="BP92" s="66">
        <f t="shared" si="373"/>
        <v>-6.5788977619371525E-2</v>
      </c>
      <c r="BQ92" s="66">
        <f t="shared" si="373"/>
        <v>-7.1925548393590666E-2</v>
      </c>
      <c r="BR92" s="66">
        <f t="shared" si="373"/>
        <v>-0.22750132460794636</v>
      </c>
      <c r="BS92" s="66">
        <f t="shared" si="373"/>
        <v>-0.25615165684029639</v>
      </c>
      <c r="BT92" s="66">
        <f t="shared" si="373"/>
        <v>-0.28127885987742418</v>
      </c>
      <c r="BU92" s="66">
        <f t="shared" si="373"/>
        <v>-0.29593098547977148</v>
      </c>
      <c r="BV92" s="66">
        <f t="shared" si="373"/>
        <v>6.4600727857465623E-2</v>
      </c>
      <c r="BW92" s="66">
        <f t="shared" si="373"/>
        <v>6.9797382424570564E-2</v>
      </c>
      <c r="BX92" s="66">
        <f t="shared" si="373"/>
        <v>0.41810682529532461</v>
      </c>
      <c r="BY92" s="66">
        <f t="shared" si="373"/>
        <v>0.39984491447748982</v>
      </c>
      <c r="BZ92" s="66">
        <f t="shared" ref="BZ92" si="374">+BZ82/BV82-1</f>
        <v>-0.17908617525056403</v>
      </c>
      <c r="CA92" s="66">
        <f t="shared" ref="CA92" si="375">+CA82/BW82-1</f>
        <v>-0.38848476873388582</v>
      </c>
      <c r="CB92" s="66">
        <f t="shared" ref="CB92" si="376">+CB82/BX82-1</f>
        <v>-0.50355974944012782</v>
      </c>
      <c r="CC92" s="66">
        <f t="shared" ref="CC92" si="377">+CC82/BY82-1</f>
        <v>-0.6268077871262776</v>
      </c>
      <c r="CD92" s="66">
        <f t="shared" ref="CD92:CH92" si="378">+CD82/BZ82-1</f>
        <v>-0.18783940646311048</v>
      </c>
      <c r="CE92" s="66">
        <f t="shared" si="378"/>
        <v>0.10295041397840432</v>
      </c>
      <c r="CF92" s="66">
        <f t="shared" si="378"/>
        <v>0.91139320767904608</v>
      </c>
      <c r="CG92" s="66">
        <f t="shared" si="378"/>
        <v>0.5169613768087753</v>
      </c>
      <c r="CH92" s="66">
        <f t="shared" si="378"/>
        <v>6.3626988700353992E-2</v>
      </c>
      <c r="CI92" s="66">
        <f t="shared" ref="CI92" si="379">+CI82/CE82-1</f>
        <v>0.23250916922393094</v>
      </c>
      <c r="CJ92" s="66">
        <f t="shared" ref="CJ92" si="380">+CJ82/CF82-1</f>
        <v>-0.21073591805089609</v>
      </c>
      <c r="CK92" s="66">
        <f t="shared" ref="CK92" si="381">+CK82/CG82-1</f>
        <v>0.15419301941534758</v>
      </c>
      <c r="CL92" s="66">
        <f t="shared" ref="CL92" si="382">+CL82/CH82-1</f>
        <v>0.3170296226644651</v>
      </c>
      <c r="CM92" s="66">
        <f t="shared" ref="CM92" si="383">+CM82/CI82-1</f>
        <v>-6.9289455650238252E-2</v>
      </c>
      <c r="CN92" s="66">
        <f t="shared" ref="CN92:CQ92" si="384">+CN82/CJ82-1</f>
        <v>1.0684769275743689E-2</v>
      </c>
      <c r="CO92" s="66">
        <f t="shared" si="384"/>
        <v>0.39398235910848012</v>
      </c>
      <c r="CP92" s="66">
        <f t="shared" si="384"/>
        <v>0.22523961679788629</v>
      </c>
      <c r="CQ92" s="66">
        <f t="shared" si="384"/>
        <v>-0.46882860755108235</v>
      </c>
      <c r="CR92" s="66">
        <f t="shared" ref="CR92" si="385">+CR82/CN82-1</f>
        <v>0.49230638070497101</v>
      </c>
      <c r="CS92" s="66">
        <f t="shared" ref="CS92" si="386">+CS82/CO82-1</f>
        <v>0.24713714508369033</v>
      </c>
      <c r="CT92" s="66">
        <f t="shared" ref="CT92" si="387">+CT82/CP82-1</f>
        <v>0.43212564887758509</v>
      </c>
      <c r="CU92" s="66">
        <f t="shared" ref="CU92" si="388">+CU82/CQ82-1</f>
        <v>1.7513420507993556</v>
      </c>
      <c r="CV92" s="66">
        <f t="shared" ref="CV92:DF92" si="389">+CV82/CR82-1</f>
        <v>8.6392868503512688E-2</v>
      </c>
      <c r="CW92" s="66">
        <f t="shared" si="389"/>
        <v>0.11845562103386764</v>
      </c>
      <c r="CX92" s="66">
        <f t="shared" si="389"/>
        <v>-2.3716548886028588E-2</v>
      </c>
      <c r="CY92" s="66">
        <f t="shared" si="389"/>
        <v>0.41134642228191165</v>
      </c>
      <c r="CZ92" s="66">
        <f t="shared" si="389"/>
        <v>-6.1677293908494524E-2</v>
      </c>
      <c r="DA92" s="66">
        <f t="shared" si="389"/>
        <v>-9.3928791890615648E-2</v>
      </c>
      <c r="DB92" s="66">
        <f t="shared" si="389"/>
        <v>0.40022763994078892</v>
      </c>
      <c r="DC92" s="66">
        <f t="shared" si="389"/>
        <v>0.24076955289661717</v>
      </c>
      <c r="DD92" s="66">
        <f t="shared" si="389"/>
        <v>0.38318594312768117</v>
      </c>
      <c r="DE92" s="66">
        <f t="shared" si="389"/>
        <v>0.45580624220564636</v>
      </c>
      <c r="DF92" s="66">
        <f t="shared" si="389"/>
        <v>0.17005727482444555</v>
      </c>
      <c r="DG92" s="66">
        <f>+DG82/DC82-1</f>
        <v>0.43758303199128945</v>
      </c>
      <c r="DH92" s="66">
        <f t="shared" ref="DH92:DN92" si="390">+DH82/DD82-1</f>
        <v>1.1450043970479884E-2</v>
      </c>
      <c r="DI92" s="66">
        <f t="shared" si="390"/>
        <v>2.3716730966681032E-2</v>
      </c>
      <c r="DJ92" s="66">
        <f t="shared" si="390"/>
        <v>-7.6791808189561661E-2</v>
      </c>
      <c r="DK92" s="66">
        <f t="shared" si="390"/>
        <v>-0.40528199841427992</v>
      </c>
      <c r="DL92" s="66">
        <f t="shared" si="390"/>
        <v>-0.130248576662779</v>
      </c>
      <c r="DM92" s="66">
        <f t="shared" si="390"/>
        <v>0.53275212509008574</v>
      </c>
      <c r="DN92" s="66">
        <f t="shared" si="390"/>
        <v>0.4699178124623602</v>
      </c>
      <c r="DO92" s="66">
        <f>+DO82/DK82-1</f>
        <v>0.58645968632628698</v>
      </c>
      <c r="DP92" s="66">
        <f>+DP82/DL82-1</f>
        <v>1.4947066147679449</v>
      </c>
      <c r="DQ92" s="66">
        <f t="shared" ref="DQ92" si="391">+DQ82/DM82-1</f>
        <v>0.52147164221158615</v>
      </c>
      <c r="DR92" s="66">
        <f t="shared" ref="DR92" si="392">+DR82/DN82-1</f>
        <v>0.774635461168379</v>
      </c>
      <c r="DS92" s="66">
        <f t="shared" ref="DS92" si="393">+DS82/DO82-1</f>
        <v>0.93496004729225857</v>
      </c>
      <c r="DT92" s="66">
        <f t="shared" ref="DT92" si="394">+DT82/DP82-1</f>
        <v>0.44166489163162059</v>
      </c>
      <c r="DU92" s="66">
        <f t="shared" ref="DU92" si="395">+DU82/DQ82-1</f>
        <v>0.44228754120618841</v>
      </c>
      <c r="DV92" s="66">
        <f t="shared" ref="DV92" si="396">+DV82/DR82-1</f>
        <v>0.26521158875640527</v>
      </c>
      <c r="DW92" s="66"/>
      <c r="DX92" s="66"/>
      <c r="DY92" s="66"/>
      <c r="DZ92" s="66"/>
      <c r="EA92" s="66"/>
      <c r="EB92" s="66"/>
      <c r="EC92" s="66"/>
      <c r="ED92" s="66"/>
      <c r="EE92" s="66"/>
      <c r="EF92" s="66"/>
      <c r="EG92" s="66"/>
      <c r="EH92" s="66"/>
      <c r="EI92" s="66"/>
      <c r="EJ92" s="66"/>
      <c r="EK92" s="66"/>
      <c r="EL92" s="66"/>
      <c r="EM92" s="66"/>
      <c r="EN92" s="48"/>
      <c r="EO92" s="67">
        <f t="shared" ref="EO92:FF92" si="397">EO82/EN82-1</f>
        <v>-7.8712768439495151E-2</v>
      </c>
      <c r="EP92" s="67">
        <f t="shared" si="397"/>
        <v>-1.0147762349246858E-2</v>
      </c>
      <c r="EQ92" s="67">
        <f t="shared" si="397"/>
        <v>8.8659943146997877E-2</v>
      </c>
      <c r="ER92" s="67">
        <f t="shared" si="397"/>
        <v>1.8914666658705448E-2</v>
      </c>
      <c r="ES92" s="67">
        <f t="shared" si="397"/>
        <v>0.18158561537982321</v>
      </c>
      <c r="ET92" s="67">
        <f t="shared" si="397"/>
        <v>0.36697720609951956</v>
      </c>
      <c r="EU92" s="67">
        <f t="shared" si="397"/>
        <v>0.82971846943568472</v>
      </c>
      <c r="EV92" s="67">
        <f t="shared" si="397"/>
        <v>-0.49685325768272748</v>
      </c>
      <c r="EW92" s="67">
        <f t="shared" si="397"/>
        <v>-0.14043421391571609</v>
      </c>
      <c r="EX92" s="67">
        <f t="shared" si="397"/>
        <v>9.3314477344200064E-2</v>
      </c>
      <c r="EY92" s="67">
        <f t="shared" si="397"/>
        <v>-0.27187767535042584</v>
      </c>
      <c r="EZ92" s="67">
        <f t="shared" si="397"/>
        <v>-2.5724967872223239</v>
      </c>
      <c r="FA92" s="67">
        <f t="shared" si="397"/>
        <v>-0.19999999999999984</v>
      </c>
      <c r="FB92" s="67">
        <f t="shared" si="397"/>
        <v>-1</v>
      </c>
      <c r="FC92" s="67" t="e">
        <f t="shared" si="397"/>
        <v>#DIV/0!</v>
      </c>
      <c r="FD92" s="67" t="e">
        <f t="shared" si="397"/>
        <v>#DIV/0!</v>
      </c>
      <c r="FE92" s="67">
        <f t="shared" si="397"/>
        <v>0.32373313187086694</v>
      </c>
      <c r="FF92" s="67">
        <f t="shared" si="397"/>
        <v>9.1367282249790627E-2</v>
      </c>
      <c r="FG92" s="67"/>
      <c r="FH92" s="67"/>
    </row>
    <row r="93" spans="1:251" x14ac:dyDescent="0.25">
      <c r="A93" s="102"/>
      <c r="FE93" s="47"/>
      <c r="FF93" s="47"/>
      <c r="FG93" s="47"/>
      <c r="FH93" s="47"/>
    </row>
    <row r="94" spans="1:251" x14ac:dyDescent="0.25">
      <c r="A94" s="102"/>
      <c r="B94" t="s">
        <v>123</v>
      </c>
      <c r="AP94" s="64">
        <f t="shared" ref="AP94:BB94" si="398">AP73/AP71</f>
        <v>0.73930980486629738</v>
      </c>
      <c r="AQ94" s="64">
        <f t="shared" si="398"/>
        <v>0.73235178068634854</v>
      </c>
      <c r="AR94" s="64">
        <f t="shared" si="398"/>
        <v>0.73840333863752361</v>
      </c>
      <c r="AS94" s="64">
        <f t="shared" si="398"/>
        <v>0.74711692764659565</v>
      </c>
      <c r="AT94" s="64">
        <f t="shared" si="398"/>
        <v>0.75394477317554254</v>
      </c>
      <c r="AU94" s="64">
        <f t="shared" si="398"/>
        <v>0.76540229216359301</v>
      </c>
      <c r="AV94" s="64">
        <f t="shared" si="398"/>
        <v>0.76398673281982399</v>
      </c>
      <c r="AW94" s="64">
        <f t="shared" si="398"/>
        <v>0.76998832428042041</v>
      </c>
      <c r="AX94" s="64">
        <f t="shared" si="398"/>
        <v>0.81222054008379396</v>
      </c>
      <c r="AY94" s="64">
        <f t="shared" si="398"/>
        <v>0.78590823644085506</v>
      </c>
      <c r="AZ94" s="64">
        <f t="shared" si="398"/>
        <v>0.76181506032714963</v>
      </c>
      <c r="BA94" s="64">
        <f t="shared" si="398"/>
        <v>0.82123302764734796</v>
      </c>
      <c r="BB94" s="64">
        <f t="shared" si="398"/>
        <v>0.80905231258532484</v>
      </c>
      <c r="BC94" s="64">
        <v>0.75800000000000001</v>
      </c>
      <c r="BD94" s="64">
        <v>0.75800000000000001</v>
      </c>
      <c r="BE94" s="64">
        <v>0.75800000000000001</v>
      </c>
      <c r="BF94" s="64">
        <v>0.75800000000000001</v>
      </c>
      <c r="BG94" s="64">
        <f t="shared" ref="BG94:BZ94" si="399">BG73/BG71</f>
        <v>0.83310846723087617</v>
      </c>
      <c r="BH94" s="64">
        <f t="shared" si="399"/>
        <v>0.81472572601936055</v>
      </c>
      <c r="BI94" s="64">
        <f t="shared" si="399"/>
        <v>0.81087738223660555</v>
      </c>
      <c r="BJ94" s="64">
        <f t="shared" si="399"/>
        <v>0.75879676440849342</v>
      </c>
      <c r="BK94" s="64">
        <f t="shared" si="399"/>
        <v>0.79536961079208823</v>
      </c>
      <c r="BL94" s="64">
        <f t="shared" si="399"/>
        <v>0.82189016647241986</v>
      </c>
      <c r="BM94" s="64">
        <f t="shared" si="399"/>
        <v>0.82535191341868852</v>
      </c>
      <c r="BN94" s="64">
        <f t="shared" si="399"/>
        <v>0.80084690974915962</v>
      </c>
      <c r="BO94" s="64">
        <f t="shared" si="399"/>
        <v>0.79790039731470075</v>
      </c>
      <c r="BP94" s="64">
        <f t="shared" si="399"/>
        <v>0.80360798362333674</v>
      </c>
      <c r="BQ94" s="64">
        <f t="shared" si="399"/>
        <v>0.78235552447097467</v>
      </c>
      <c r="BR94" s="64">
        <f t="shared" si="399"/>
        <v>0.78143965075322874</v>
      </c>
      <c r="BS94" s="64">
        <f t="shared" si="399"/>
        <v>0.78618092246180205</v>
      </c>
      <c r="BT94" s="64">
        <f t="shared" si="399"/>
        <v>0.79525042406927948</v>
      </c>
      <c r="BU94" s="64">
        <f t="shared" si="399"/>
        <v>0.77885163068442809</v>
      </c>
      <c r="BV94" s="64">
        <f t="shared" si="399"/>
        <v>0.79045876487670585</v>
      </c>
      <c r="BW94" s="64">
        <f t="shared" si="399"/>
        <v>0.79323455908604068</v>
      </c>
      <c r="BX94" s="64">
        <f t="shared" si="399"/>
        <v>0.80349764743578933</v>
      </c>
      <c r="BY94" s="64">
        <f t="shared" si="399"/>
        <v>0.79245054221667877</v>
      </c>
      <c r="BZ94" s="64">
        <f t="shared" si="399"/>
        <v>0.76131042556121742</v>
      </c>
      <c r="CA94" s="64">
        <f t="shared" ref="CA94:CB94" si="400">CA73/CA71</f>
        <v>0.73891225897375679</v>
      </c>
      <c r="CB94" s="64">
        <f t="shared" si="400"/>
        <v>0.75895534484155935</v>
      </c>
      <c r="CC94" s="64">
        <f t="shared" ref="CC94:CD94" si="401">CC73/CC71</f>
        <v>0.74013454754286656</v>
      </c>
      <c r="CD94" s="64">
        <f t="shared" si="401"/>
        <v>0.75531603303848638</v>
      </c>
      <c r="CE94" s="64">
        <f t="shared" ref="CE94" si="402">CE73/CE71</f>
        <v>0.74321269403836632</v>
      </c>
      <c r="CF94" s="64">
        <f t="shared" ref="CF94" si="403">CF73/CF71</f>
        <v>0.79233534858497201</v>
      </c>
      <c r="CG94" s="64">
        <f t="shared" ref="CG94" si="404">CG73/CG71</f>
        <v>0.75060991592233395</v>
      </c>
      <c r="CH94" s="64">
        <f t="shared" ref="CH94" si="405">CH73/CH71</f>
        <v>0.7415730337078652</v>
      </c>
      <c r="CI94" s="64">
        <f t="shared" ref="CI94:CJ94" si="406">CI73/CI71</f>
        <v>0.72806314361472535</v>
      </c>
      <c r="CJ94" s="64">
        <f t="shared" si="406"/>
        <v>0.75976909413854343</v>
      </c>
      <c r="CK94" s="64">
        <f t="shared" ref="CK94:CL94" si="407">CK73/CK71</f>
        <v>0.73016545640156405</v>
      </c>
      <c r="CL94" s="64">
        <f t="shared" si="407"/>
        <v>0.74550820241298499</v>
      </c>
      <c r="CM94" s="64">
        <f t="shared" ref="CM94:CN94" si="408">CM73/CM71</f>
        <v>0.74219153453321351</v>
      </c>
      <c r="CN94" s="64">
        <f t="shared" si="408"/>
        <v>0.73014782892364749</v>
      </c>
      <c r="CO94" s="64">
        <f t="shared" ref="CO94:CQ94" si="409">CO73/CO71</f>
        <v>0.71963591375044178</v>
      </c>
      <c r="CP94" s="64">
        <f t="shared" si="409"/>
        <v>0.73300112000259698</v>
      </c>
      <c r="CQ94" s="64">
        <f t="shared" si="409"/>
        <v>0.68344816471251857</v>
      </c>
      <c r="CR94" s="64">
        <f t="shared" ref="CR94" si="410">CR73/CR71</f>
        <v>0.7320776686807654</v>
      </c>
      <c r="CS94" s="64">
        <f t="shared" ref="CS94" si="411">CS73/CS71</f>
        <v>0.74227552417558851</v>
      </c>
      <c r="CT94" s="64">
        <f t="shared" ref="CT94:CU94" si="412">CT73/CT71</f>
        <v>0.75247724660640514</v>
      </c>
      <c r="CU94" s="64">
        <f t="shared" si="412"/>
        <v>0.80155535044480652</v>
      </c>
      <c r="CV94" s="64">
        <f t="shared" ref="CV94:CW94" si="413">CV73/CV71</f>
        <v>0.80959054782855522</v>
      </c>
      <c r="CW94" s="64">
        <f t="shared" si="413"/>
        <v>0.79578570646021263</v>
      </c>
      <c r="CX94" s="64">
        <f t="shared" ref="CX94:CY94" si="414">CX73/CX71</f>
        <v>0.79891393241519193</v>
      </c>
      <c r="CY94" s="64">
        <f t="shared" si="414"/>
        <v>0.80263831530086338</v>
      </c>
      <c r="CZ94" s="64">
        <f t="shared" ref="CZ94:DF94" si="415">CZ73/CZ71</f>
        <v>0.79648688947885227</v>
      </c>
      <c r="DA94" s="64">
        <f t="shared" si="415"/>
        <v>0.79098003692993768</v>
      </c>
      <c r="DB94" s="64">
        <f t="shared" si="415"/>
        <v>0.76884719291407366</v>
      </c>
      <c r="DC94" s="64">
        <f t="shared" si="415"/>
        <v>0.75440813447748922</v>
      </c>
      <c r="DD94" s="64">
        <f t="shared" si="415"/>
        <v>0.7925816023738872</v>
      </c>
      <c r="DE94" s="64">
        <f t="shared" si="415"/>
        <v>0.79007825188247449</v>
      </c>
      <c r="DF94" s="64">
        <f t="shared" si="415"/>
        <v>0.74372179652245651</v>
      </c>
      <c r="DG94" s="64">
        <f>DG73/DG71</f>
        <v>0.76088654434642322</v>
      </c>
      <c r="DH94" s="64">
        <f t="shared" ref="DH94:DN94" si="416">DH73/DH71</f>
        <v>0.79820897362783039</v>
      </c>
      <c r="DI94" s="64">
        <f t="shared" si="416"/>
        <v>0.77251314557372319</v>
      </c>
      <c r="DJ94" s="64">
        <f t="shared" si="416"/>
        <v>0.80498226488996016</v>
      </c>
      <c r="DK94" s="64">
        <f t="shared" si="416"/>
        <v>0.78435964483779197</v>
      </c>
      <c r="DL94" s="64">
        <f t="shared" si="416"/>
        <v>0.78262556250969839</v>
      </c>
      <c r="DM94" s="64">
        <f t="shared" si="416"/>
        <v>0.78523772389122004</v>
      </c>
      <c r="DN94" s="64">
        <f t="shared" si="416"/>
        <v>0.82474673314811486</v>
      </c>
      <c r="DO94" s="64">
        <f t="shared" ref="DO94:DR94" si="417">DO73/DO71</f>
        <v>0.82500598747761822</v>
      </c>
      <c r="DP94" s="64">
        <f t="shared" si="417"/>
        <v>0.82029957443796608</v>
      </c>
      <c r="DQ94" s="64">
        <f t="shared" si="417"/>
        <v>0.82241765158402691</v>
      </c>
      <c r="DR94" s="64">
        <f t="shared" si="417"/>
        <v>0.81</v>
      </c>
      <c r="DS94" s="64">
        <f t="shared" ref="DS94:DV94" si="418">DS73/DS71</f>
        <v>0.82525416005405317</v>
      </c>
      <c r="DT94" s="64">
        <f t="shared" si="418"/>
        <v>0.81</v>
      </c>
      <c r="DU94" s="64">
        <f t="shared" si="418"/>
        <v>0.81</v>
      </c>
      <c r="DV94" s="64">
        <f t="shared" si="418"/>
        <v>0.81</v>
      </c>
      <c r="ER94" s="64">
        <f>ER73/ER71</f>
        <v>0.76286689419795217</v>
      </c>
      <c r="ES94" s="64">
        <f>ES73/ES71</f>
        <v>0.77818608040041815</v>
      </c>
      <c r="ET94" s="64">
        <v>0.78</v>
      </c>
      <c r="EU94" s="64">
        <f>EU73/EU71</f>
        <v>1.0500260329761233</v>
      </c>
      <c r="EV94" s="64">
        <f>EV73/EV71</f>
        <v>0.82263518056731488</v>
      </c>
      <c r="EW94" s="64">
        <f>EW73/EW71</f>
        <v>0.80057367839296967</v>
      </c>
      <c r="EX94" s="64">
        <f>EX73/EX71</f>
        <v>0.78775238406352488</v>
      </c>
      <c r="EY94" s="64">
        <f>EY73/EY71</f>
        <v>0.78199213689975688</v>
      </c>
      <c r="EZ94" s="64"/>
      <c r="FA94" s="64"/>
      <c r="FB94" s="64"/>
      <c r="FC94" s="64"/>
      <c r="FD94" s="64"/>
      <c r="FE94" s="64"/>
      <c r="FF94" s="64">
        <f t="shared" ref="FF94" si="419">FF73/FF71</f>
        <v>0.80144538583199287</v>
      </c>
      <c r="FG94" s="64">
        <f t="shared" ref="FG94:FV94" si="420">FG73/FG71</f>
        <v>0.78828764583392763</v>
      </c>
      <c r="FH94" s="64">
        <f t="shared" si="420"/>
        <v>0.7690061267369388</v>
      </c>
      <c r="FI94" s="64">
        <f t="shared" si="420"/>
        <v>0.78347943688816957</v>
      </c>
      <c r="FJ94" s="64">
        <f t="shared" si="420"/>
        <v>0.79520837615461759</v>
      </c>
      <c r="FK94" s="64">
        <f>FK73/FK71</f>
        <v>0.81816252561977321</v>
      </c>
      <c r="FL94" s="64">
        <f t="shared" si="420"/>
        <v>0.79</v>
      </c>
      <c r="FM94" s="64">
        <f t="shared" si="420"/>
        <v>0.79</v>
      </c>
      <c r="FN94" s="64">
        <f t="shared" si="420"/>
        <v>0.79</v>
      </c>
      <c r="FO94" s="64">
        <f t="shared" si="420"/>
        <v>0.79</v>
      </c>
      <c r="FP94" s="64">
        <f t="shared" si="420"/>
        <v>0.79</v>
      </c>
      <c r="FQ94" s="64">
        <f t="shared" si="420"/>
        <v>0.85</v>
      </c>
      <c r="FR94" s="64">
        <f t="shared" si="420"/>
        <v>0.85</v>
      </c>
      <c r="FS94" s="64">
        <f t="shared" si="420"/>
        <v>0.85</v>
      </c>
      <c r="FT94" s="64">
        <f t="shared" si="420"/>
        <v>0.85</v>
      </c>
      <c r="FU94" s="64">
        <f t="shared" si="420"/>
        <v>0.85</v>
      </c>
      <c r="FV94" s="64">
        <f t="shared" si="420"/>
        <v>0.85</v>
      </c>
    </row>
    <row r="95" spans="1:251" x14ac:dyDescent="0.25">
      <c r="A95" s="102"/>
      <c r="B95" t="s">
        <v>59</v>
      </c>
      <c r="AP95" s="64">
        <f t="shared" ref="AP95:BZ95" si="421">AP74/AP71</f>
        <v>0.33064321850156586</v>
      </c>
      <c r="AQ95" s="64">
        <f t="shared" si="421"/>
        <v>0.33962346804642624</v>
      </c>
      <c r="AR95" s="64">
        <f t="shared" si="421"/>
        <v>0.34410184045395864</v>
      </c>
      <c r="AS95" s="64">
        <f t="shared" si="421"/>
        <v>0.32022287121113957</v>
      </c>
      <c r="AT95" s="64">
        <f t="shared" si="421"/>
        <v>0.32599167214551827</v>
      </c>
      <c r="AU95" s="64">
        <f t="shared" si="421"/>
        <v>0.3324800744662284</v>
      </c>
      <c r="AV95" s="64">
        <f t="shared" si="421"/>
        <v>0.33935473260053178</v>
      </c>
      <c r="AW95" s="64">
        <f t="shared" si="421"/>
        <v>0.33054977410020808</v>
      </c>
      <c r="AX95" s="64">
        <f t="shared" si="421"/>
        <v>0.25034327359785935</v>
      </c>
      <c r="AY95" s="64">
        <f t="shared" si="421"/>
        <v>0.31024159298196752</v>
      </c>
      <c r="AZ95" s="64">
        <f t="shared" si="421"/>
        <v>0.36356049406266394</v>
      </c>
      <c r="BA95" s="64">
        <f t="shared" si="421"/>
        <v>0.25050429711999733</v>
      </c>
      <c r="BB95" s="64">
        <f t="shared" si="421"/>
        <v>0.26340819418815725</v>
      </c>
      <c r="BC95" s="64">
        <f t="shared" si="421"/>
        <v>0.24840590855202022</v>
      </c>
      <c r="BD95" s="64">
        <f t="shared" si="421"/>
        <v>0.25361378384426048</v>
      </c>
      <c r="BE95" s="64">
        <f t="shared" si="421"/>
        <v>0.24264002707116478</v>
      </c>
      <c r="BF95" s="64">
        <f t="shared" si="421"/>
        <v>0.32983398906055078</v>
      </c>
      <c r="BG95" s="64">
        <f t="shared" si="421"/>
        <v>0.31260476716137209</v>
      </c>
      <c r="BH95" s="64">
        <f t="shared" si="421"/>
        <v>0.33405690818421824</v>
      </c>
      <c r="BI95" s="64">
        <f t="shared" si="421"/>
        <v>0.30596907587198846</v>
      </c>
      <c r="BJ95" s="64">
        <f t="shared" si="421"/>
        <v>0.32917087967644082</v>
      </c>
      <c r="BK95" s="64">
        <f t="shared" si="421"/>
        <v>0.29430316288396685</v>
      </c>
      <c r="BL95" s="64">
        <f t="shared" si="421"/>
        <v>0.3053559935289718</v>
      </c>
      <c r="BM95" s="64">
        <f t="shared" si="421"/>
        <v>0.2997276649925727</v>
      </c>
      <c r="BN95" s="64">
        <f t="shared" si="421"/>
        <v>0.32142164468580292</v>
      </c>
      <c r="BO95" s="64">
        <f t="shared" si="421"/>
        <v>0.30581244006028224</v>
      </c>
      <c r="BP95" s="64">
        <f t="shared" si="421"/>
        <v>0.32673362333674522</v>
      </c>
      <c r="BQ95" s="64">
        <f t="shared" si="421"/>
        <v>0.31193376815601565</v>
      </c>
      <c r="BR95" s="64">
        <f t="shared" si="421"/>
        <v>0.35278554065450696</v>
      </c>
      <c r="BS95" s="64">
        <f t="shared" si="421"/>
        <v>0.32976938454947874</v>
      </c>
      <c r="BT95" s="64">
        <f t="shared" si="421"/>
        <v>0.34480849924113921</v>
      </c>
      <c r="BU95" s="64">
        <f t="shared" si="421"/>
        <v>0.32290307762976572</v>
      </c>
      <c r="BV95" s="64">
        <f t="shared" si="421"/>
        <v>0.33194568008997366</v>
      </c>
      <c r="BW95" s="64">
        <f t="shared" si="421"/>
        <v>0.29489468047126027</v>
      </c>
      <c r="BX95" s="64">
        <f t="shared" si="421"/>
        <v>0.3149569118167867</v>
      </c>
      <c r="BY95" s="64">
        <f t="shared" si="421"/>
        <v>0.28624883068288121</v>
      </c>
      <c r="BZ95" s="64">
        <f t="shared" si="421"/>
        <v>0.3363173116650599</v>
      </c>
      <c r="CA95" s="64">
        <f t="shared" ref="CA95:CB95" si="422">CA74/CA71</f>
        <v>0.31707629561615169</v>
      </c>
      <c r="CB95" s="64">
        <f t="shared" si="422"/>
        <v>0.33712213307399302</v>
      </c>
      <c r="CC95" s="64">
        <f t="shared" ref="CC95:CD95" si="423">CC74/CC71</f>
        <v>0.34295266223644266</v>
      </c>
      <c r="CD95" s="64">
        <f t="shared" si="423"/>
        <v>0.35145373245074496</v>
      </c>
      <c r="CE95" s="64">
        <f t="shared" ref="CE95" si="424">CE74/CE71</f>
        <v>0.32800826748767414</v>
      </c>
      <c r="CF95" s="64">
        <f t="shared" ref="CF95" si="425">CF74/CF71</f>
        <v>0.32847932191134233</v>
      </c>
      <c r="CG95" s="64">
        <f t="shared" ref="CG95" si="426">CG74/CG71</f>
        <v>0.31770066737907537</v>
      </c>
      <c r="CH95" s="64">
        <f t="shared" ref="CH95" si="427">CH74/CH71</f>
        <v>0.33454870154029315</v>
      </c>
      <c r="CI95" s="64">
        <f t="shared" ref="CI95:CJ95" si="428">CI74/CI71</f>
        <v>0.30295369057162236</v>
      </c>
      <c r="CJ95" s="64">
        <f t="shared" si="428"/>
        <v>0.30021462403789223</v>
      </c>
      <c r="CK95" s="64">
        <f t="shared" ref="CK95:CL95" si="429">CK74/CK71</f>
        <v>0.30151973342065225</v>
      </c>
      <c r="CL95" s="64">
        <f t="shared" si="429"/>
        <v>0.31075427480253448</v>
      </c>
      <c r="CM95" s="64">
        <f t="shared" ref="CM95:CN95" si="430">CM74/CM71</f>
        <v>0.29984889925979763</v>
      </c>
      <c r="CN95" s="64">
        <f t="shared" si="430"/>
        <v>0.29710008069639271</v>
      </c>
      <c r="CO95" s="64">
        <f t="shared" ref="CO95:CQ95" si="431">CO74/CO71</f>
        <v>0.27898550724637683</v>
      </c>
      <c r="CP95" s="64">
        <f t="shared" si="431"/>
        <v>0.29274270780917755</v>
      </c>
      <c r="CQ95" s="64">
        <f t="shared" si="431"/>
        <v>0.30218783996131993</v>
      </c>
      <c r="CR95" s="64">
        <f t="shared" ref="CR95" si="432">CR74/CR71</f>
        <v>0.26021210976837866</v>
      </c>
      <c r="CS95" s="64">
        <f t="shared" ref="CS95" si="433">CS74/CS71</f>
        <v>0.26668206337946848</v>
      </c>
      <c r="CT95" s="64">
        <f t="shared" ref="CT95:CU95" si="434">CT74/CT71</f>
        <v>0.28911564625850339</v>
      </c>
      <c r="CU95" s="64">
        <f t="shared" si="434"/>
        <v>0.29793209088588218</v>
      </c>
      <c r="CV95" s="64">
        <f t="shared" ref="CV95:CW95" si="435">CV74/CV71</f>
        <v>0.28141853533919947</v>
      </c>
      <c r="CW95" s="64">
        <f t="shared" si="435"/>
        <v>0.25787897600701165</v>
      </c>
      <c r="CX95" s="64">
        <f t="shared" ref="CX95:CY95" si="436">CX74/CX71</f>
        <v>0.27774869966305737</v>
      </c>
      <c r="CY95" s="64">
        <f t="shared" si="436"/>
        <v>0.26444588552510334</v>
      </c>
      <c r="CZ95" s="64">
        <f t="shared" ref="CZ95:DF95" si="437">CZ74/CZ71</f>
        <v>0.26341055387860496</v>
      </c>
      <c r="DA95" s="64">
        <f t="shared" si="437"/>
        <v>0.27333379786085082</v>
      </c>
      <c r="DB95" s="64">
        <f t="shared" si="437"/>
        <v>0.20885471969462779</v>
      </c>
      <c r="DC95" s="64">
        <f t="shared" si="437"/>
        <v>0.23157399788409544</v>
      </c>
      <c r="DD95" s="64">
        <f t="shared" si="437"/>
        <v>0.25010385756676567</v>
      </c>
      <c r="DE95" s="64">
        <f t="shared" si="437"/>
        <v>0.23296914218219408</v>
      </c>
      <c r="DF95" s="64">
        <f t="shared" si="437"/>
        <v>0.19900248753109415</v>
      </c>
      <c r="DG95" s="64">
        <f>DG74/DG71</f>
        <v>0.1994724779452248</v>
      </c>
      <c r="DH95" s="64">
        <f t="shared" ref="DH95:DN95" si="438">DH74/DH71</f>
        <v>0.27464973257910874</v>
      </c>
      <c r="DI95" s="64">
        <f t="shared" si="438"/>
        <v>0.232543398400922</v>
      </c>
      <c r="DJ95" s="64">
        <f t="shared" si="438"/>
        <v>0.22503731905394483</v>
      </c>
      <c r="DK95" s="64">
        <f t="shared" si="438"/>
        <v>0.25131461739605188</v>
      </c>
      <c r="DL95" s="64">
        <f t="shared" si="438"/>
        <v>0.24897843066259767</v>
      </c>
      <c r="DM95" s="64">
        <f t="shared" si="438"/>
        <v>0.19980937527077383</v>
      </c>
      <c r="DN95" s="64">
        <f t="shared" si="438"/>
        <v>0.20331069161129478</v>
      </c>
      <c r="DO95" s="64">
        <f t="shared" ref="DO95:DR95" si="439">DO74/DO71</f>
        <v>0.22264292964428684</v>
      </c>
      <c r="DP95" s="64">
        <f t="shared" si="439"/>
        <v>0.18732692188592109</v>
      </c>
      <c r="DQ95" s="64">
        <f t="shared" si="439"/>
        <v>0.23901146933351972</v>
      </c>
      <c r="DR95" s="64">
        <f t="shared" si="439"/>
        <v>0.15377106120815448</v>
      </c>
      <c r="DS95" s="64">
        <f t="shared" ref="DS95:DV95" si="440">DS74/DS71</f>
        <v>0.19396301126632204</v>
      </c>
      <c r="DT95" s="64">
        <f t="shared" si="440"/>
        <v>0.16006385977789275</v>
      </c>
      <c r="DU95" s="64">
        <f t="shared" si="440"/>
        <v>0.19449165256889794</v>
      </c>
      <c r="DV95" s="64">
        <f t="shared" si="440"/>
        <v>0.13715161593971456</v>
      </c>
      <c r="EN95" s="64">
        <f t="shared" ref="EN95:FG95" si="441">EN74/EN71</f>
        <v>0.29383437956832059</v>
      </c>
      <c r="EO95" s="64">
        <f t="shared" si="441"/>
        <v>0.30691454079346014</v>
      </c>
      <c r="EP95" s="64">
        <f t="shared" si="441"/>
        <v>0.32220897894318634</v>
      </c>
      <c r="EQ95" s="64">
        <f t="shared" si="441"/>
        <v>0.30911321163143085</v>
      </c>
      <c r="ER95" s="64">
        <f t="shared" si="441"/>
        <v>0.30696245733788396</v>
      </c>
      <c r="ES95" s="64">
        <f t="shared" si="441"/>
        <v>0.30107390629454817</v>
      </c>
      <c r="ET95" s="64">
        <f t="shared" si="441"/>
        <v>0.26364165212332757</v>
      </c>
      <c r="EU95" s="64">
        <f t="shared" si="441"/>
        <v>0.33758834028714957</v>
      </c>
      <c r="EV95" s="64">
        <f t="shared" si="441"/>
        <v>0.32861448926124026</v>
      </c>
      <c r="EW95" s="64">
        <f t="shared" si="441"/>
        <v>0.32216426568252204</v>
      </c>
      <c r="EX95" s="64">
        <f t="shared" si="441"/>
        <v>0.33001637538582668</v>
      </c>
      <c r="EY95" s="64">
        <f t="shared" si="441"/>
        <v>0.34149944321978049</v>
      </c>
      <c r="EZ95" s="64">
        <f t="shared" si="441"/>
        <v>0.30882162063937763</v>
      </c>
      <c r="FA95" s="64">
        <f t="shared" si="441"/>
        <v>0.2911066135799385</v>
      </c>
      <c r="FB95" s="64">
        <f t="shared" si="441"/>
        <v>0</v>
      </c>
      <c r="FC95" s="64">
        <f t="shared" si="441"/>
        <v>0</v>
      </c>
      <c r="FD95" s="64">
        <f t="shared" si="441"/>
        <v>0.29950636320853891</v>
      </c>
      <c r="FE95" s="64">
        <f t="shared" si="441"/>
        <v>0.27800084678338632</v>
      </c>
      <c r="FF95" s="64">
        <f t="shared" ref="FF95" si="442">FF74/FF71</f>
        <v>0.27840478868064855</v>
      </c>
      <c r="FG95" s="64">
        <f t="shared" si="441"/>
        <v>0.24943866926923092</v>
      </c>
      <c r="FH95" s="64">
        <f>FH74/FH71</f>
        <v>0.22711654925225563</v>
      </c>
      <c r="FI95" s="64">
        <f t="shared" ref="FI95:FV95" si="443">FI74/FI71</f>
        <v>0.23114493332492445</v>
      </c>
      <c r="FJ95" s="64">
        <f t="shared" si="443"/>
        <v>0.22464512833928157</v>
      </c>
      <c r="FK95" s="64">
        <f t="shared" si="443"/>
        <v>0.19751132008171762</v>
      </c>
      <c r="FL95" s="64">
        <f t="shared" si="443"/>
        <v>0.25</v>
      </c>
      <c r="FM95" s="64">
        <f t="shared" si="443"/>
        <v>0.25</v>
      </c>
      <c r="FN95" s="64">
        <f t="shared" si="443"/>
        <v>0.25</v>
      </c>
      <c r="FO95" s="64">
        <f t="shared" si="443"/>
        <v>0.25</v>
      </c>
      <c r="FP95" s="64">
        <f t="shared" si="443"/>
        <v>0.25</v>
      </c>
      <c r="FQ95" s="64">
        <f t="shared" si="443"/>
        <v>0.25</v>
      </c>
      <c r="FR95" s="64">
        <f t="shared" si="443"/>
        <v>0.25</v>
      </c>
      <c r="FS95" s="64">
        <f t="shared" si="443"/>
        <v>0.25</v>
      </c>
      <c r="FT95" s="64">
        <f t="shared" si="443"/>
        <v>0.25</v>
      </c>
      <c r="FU95" s="64">
        <f t="shared" si="443"/>
        <v>0.25</v>
      </c>
      <c r="FV95" s="64">
        <f t="shared" si="443"/>
        <v>0.25</v>
      </c>
    </row>
    <row r="96" spans="1:251" x14ac:dyDescent="0.25">
      <c r="A96" s="102"/>
      <c r="B96" t="s">
        <v>60</v>
      </c>
      <c r="AP96" s="64">
        <f t="shared" ref="AP96:BZ96" si="444">AP75/AP71</f>
        <v>0.21259937364490483</v>
      </c>
      <c r="AQ96" s="64">
        <f t="shared" si="444"/>
        <v>0.2187299766684323</v>
      </c>
      <c r="AR96" s="64">
        <f t="shared" si="444"/>
        <v>0.22890083165700903</v>
      </c>
      <c r="AS96" s="64">
        <f t="shared" si="444"/>
        <v>0.2245656702582555</v>
      </c>
      <c r="AT96" s="64">
        <f t="shared" si="444"/>
        <v>0.22189349112426032</v>
      </c>
      <c r="AU96" s="64">
        <f t="shared" si="444"/>
        <v>0.21554482517889348</v>
      </c>
      <c r="AV96" s="64">
        <f t="shared" si="444"/>
        <v>0.21243935199144762</v>
      </c>
      <c r="AW96" s="64">
        <f t="shared" si="444"/>
        <v>0.20021320879232446</v>
      </c>
      <c r="AX96" s="64">
        <f t="shared" si="444"/>
        <v>0.15667359081787136</v>
      </c>
      <c r="AY96" s="64">
        <f t="shared" si="444"/>
        <v>0.19359929448351085</v>
      </c>
      <c r="AZ96" s="64">
        <f t="shared" si="444"/>
        <v>0.20372931470265629</v>
      </c>
      <c r="BA96" s="64">
        <f t="shared" si="444"/>
        <v>0.14315257742444021</v>
      </c>
      <c r="BB96" s="64">
        <f t="shared" si="444"/>
        <v>0.14306074380785214</v>
      </c>
      <c r="BC96" s="64">
        <f t="shared" si="444"/>
        <v>0.14052036271588322</v>
      </c>
      <c r="BD96" s="64">
        <f t="shared" si="444"/>
        <v>0.14194077720593723</v>
      </c>
      <c r="BE96" s="64">
        <f t="shared" si="444"/>
        <v>0.14021097853433181</v>
      </c>
      <c r="BF96" s="64">
        <f t="shared" si="444"/>
        <v>0.19884847903272238</v>
      </c>
      <c r="BG96" s="64">
        <f t="shared" si="444"/>
        <v>0.19365059896152745</v>
      </c>
      <c r="BH96" s="64">
        <f t="shared" si="444"/>
        <v>0.20346142563801703</v>
      </c>
      <c r="BI96" s="64">
        <f t="shared" si="444"/>
        <v>0.20174397698669541</v>
      </c>
      <c r="BJ96" s="64">
        <f t="shared" si="444"/>
        <v>0.2050387596899225</v>
      </c>
      <c r="BK96" s="64">
        <f t="shared" si="444"/>
        <v>0.1894266703126424</v>
      </c>
      <c r="BL96" s="64">
        <f t="shared" si="444"/>
        <v>0.20651625584914851</v>
      </c>
      <c r="BM96" s="64">
        <f t="shared" si="444"/>
        <v>0.2157105467921058</v>
      </c>
      <c r="BN96" s="64">
        <f t="shared" si="444"/>
        <v>0.23243147142487713</v>
      </c>
      <c r="BO96" s="64">
        <f t="shared" si="444"/>
        <v>0.19249212220852172</v>
      </c>
      <c r="BP96" s="64">
        <f t="shared" si="444"/>
        <v>0.20160568065506657</v>
      </c>
      <c r="BQ96" s="64">
        <f t="shared" si="444"/>
        <v>0.20834078821099203</v>
      </c>
      <c r="BR96" s="64">
        <f t="shared" si="444"/>
        <v>0.22411654788087243</v>
      </c>
      <c r="BS96" s="64">
        <f t="shared" si="444"/>
        <v>0.20553691275167782</v>
      </c>
      <c r="BT96" s="64">
        <f t="shared" si="444"/>
        <v>0.23581823051513262</v>
      </c>
      <c r="BU96" s="64">
        <f t="shared" si="444"/>
        <v>0.24672485071198896</v>
      </c>
      <c r="BV96" s="64">
        <f t="shared" si="444"/>
        <v>0.2455978379467208</v>
      </c>
      <c r="BW96" s="64">
        <f t="shared" si="444"/>
        <v>0.24064619778650481</v>
      </c>
      <c r="BX96" s="64">
        <f t="shared" si="444"/>
        <v>0.22436210938158763</v>
      </c>
      <c r="BY96" s="64">
        <f t="shared" si="444"/>
        <v>0.23860998510203374</v>
      </c>
      <c r="BZ96" s="64">
        <f t="shared" si="444"/>
        <v>0.25399394022861865</v>
      </c>
      <c r="CA96" s="64">
        <f t="shared" ref="CA96:CB96" si="445">CA75/CA71</f>
        <v>0.23687301146676343</v>
      </c>
      <c r="CB96" s="64">
        <f t="shared" si="445"/>
        <v>0.24219952994570063</v>
      </c>
      <c r="CC96" s="64">
        <f t="shared" ref="CC96:CD96" si="446">CC75/CC71</f>
        <v>0.25498400196898841</v>
      </c>
      <c r="CD96" s="64">
        <f t="shared" si="446"/>
        <v>0.2315232460508074</v>
      </c>
      <c r="CE96" s="64">
        <f t="shared" ref="CE96" si="447">CE75/CE71</f>
        <v>0.22376041509677697</v>
      </c>
      <c r="CF96" s="64">
        <f t="shared" ref="CF96" si="448">CF75/CF71</f>
        <v>0.23490067688352381</v>
      </c>
      <c r="CG96" s="64">
        <f t="shared" ref="CG96" si="449">CG75/CG71</f>
        <v>0.230538137387342</v>
      </c>
      <c r="CH96" s="64">
        <f t="shared" ref="CH96" si="450">CH75/CH71</f>
        <v>0.26865838232011308</v>
      </c>
      <c r="CI96" s="64">
        <f t="shared" ref="CI96:CJ96" si="451">CI75/CI71</f>
        <v>0.25097120305851883</v>
      </c>
      <c r="CJ96" s="64">
        <f t="shared" si="451"/>
        <v>0.24716918294849025</v>
      </c>
      <c r="CK96" s="64">
        <f t="shared" ref="CK96:CL96" si="452">CK75/CK71</f>
        <v>0.23814935377621976</v>
      </c>
      <c r="CL96" s="64">
        <f t="shared" si="452"/>
        <v>0.25181841854005726</v>
      </c>
      <c r="CM96" s="64">
        <f t="shared" ref="CM96:CN96" si="453">CM75/CM71</f>
        <v>0.24067096379320235</v>
      </c>
      <c r="CN96" s="64">
        <f t="shared" si="453"/>
        <v>0.21841251309170198</v>
      </c>
      <c r="CO96" s="64">
        <f t="shared" ref="CO96:CQ96" si="454">CO75/CO71</f>
        <v>0.23683280311063981</v>
      </c>
      <c r="CP96" s="64">
        <f t="shared" si="454"/>
        <v>0.24135244371581155</v>
      </c>
      <c r="CQ96" s="64">
        <f t="shared" si="454"/>
        <v>0.23709657923365166</v>
      </c>
      <c r="CR96" s="64">
        <f t="shared" ref="CR96" si="455">CR75/CR71</f>
        <v>0.20976523162134944</v>
      </c>
      <c r="CS96" s="64">
        <f t="shared" ref="CS96" si="456">CS75/CS71</f>
        <v>0.22159718900014846</v>
      </c>
      <c r="CT96" s="64">
        <f t="shared" ref="CT96:CU96" si="457">CT75/CT71</f>
        <v>0.22579442735998506</v>
      </c>
      <c r="CU96" s="64">
        <f t="shared" si="457"/>
        <v>0.2416488285776007</v>
      </c>
      <c r="CV96" s="64">
        <f t="shared" ref="CV96:CW96" si="458">CV75/CV71</f>
        <v>0.24875816065852963</v>
      </c>
      <c r="CW96" s="64">
        <f t="shared" si="458"/>
        <v>0.25214549172844464</v>
      </c>
      <c r="CX96" s="64">
        <f t="shared" ref="CX96:CY96" si="459">CX75/CX71</f>
        <v>0.25866073473126372</v>
      </c>
      <c r="CY96" s="64">
        <f t="shared" si="459"/>
        <v>0.23756783507969564</v>
      </c>
      <c r="CZ96" s="64">
        <f t="shared" ref="CZ96:DF96" si="460">CZ75/CZ71</f>
        <v>0.25279121358693685</v>
      </c>
      <c r="DA96" s="64">
        <f t="shared" si="460"/>
        <v>0.25526948402606009</v>
      </c>
      <c r="DB96" s="64">
        <f t="shared" si="460"/>
        <v>0.24703969032674294</v>
      </c>
      <c r="DC96" s="64">
        <f t="shared" si="460"/>
        <v>0.24569472199365225</v>
      </c>
      <c r="DD96" s="64">
        <f t="shared" si="460"/>
        <v>0.24818991097922857</v>
      </c>
      <c r="DE96" s="64">
        <f t="shared" si="460"/>
        <v>0.25231064520891783</v>
      </c>
      <c r="DF96" s="64">
        <f t="shared" si="460"/>
        <v>0.24492806160077002</v>
      </c>
      <c r="DG96" s="64">
        <f>DG75/DG71</f>
        <v>0.20615613116349343</v>
      </c>
      <c r="DH96" s="64">
        <f t="shared" ref="DH96:DN96" si="461">DH75/DH71</f>
        <v>0.25048166587031234</v>
      </c>
      <c r="DI96" s="64">
        <f t="shared" si="461"/>
        <v>0.25972772455521143</v>
      </c>
      <c r="DJ96" s="64">
        <f t="shared" si="461"/>
        <v>0.27333981566441606</v>
      </c>
      <c r="DK96" s="64">
        <f t="shared" si="461"/>
        <v>0.28520732162868884</v>
      </c>
      <c r="DL96" s="64">
        <f t="shared" si="461"/>
        <v>0.3047250814669219</v>
      </c>
      <c r="DM96" s="64">
        <f t="shared" si="461"/>
        <v>0.22316709371557311</v>
      </c>
      <c r="DN96" s="64">
        <f t="shared" si="461"/>
        <v>0.27071823204419887</v>
      </c>
      <c r="DO96" s="64">
        <f t="shared" ref="DO96:DR96" si="462">DO75/DO71</f>
        <v>0.28771825781508392</v>
      </c>
      <c r="DP96" s="64">
        <f t="shared" si="462"/>
        <v>0.22622028364903959</v>
      </c>
      <c r="DQ96" s="64">
        <f t="shared" si="462"/>
        <v>0.18356178753758998</v>
      </c>
      <c r="DR96" s="64">
        <f t="shared" si="462"/>
        <v>0.20475376626734776</v>
      </c>
      <c r="DS96" s="64">
        <f t="shared" ref="DS96:DV96" si="463">DS75/DS71</f>
        <v>0.21477506638802027</v>
      </c>
      <c r="DT96" s="64">
        <f t="shared" si="463"/>
        <v>0.19329678508765594</v>
      </c>
      <c r="DU96" s="64">
        <f t="shared" si="463"/>
        <v>0.14937038589084961</v>
      </c>
      <c r="DV96" s="64">
        <f t="shared" si="463"/>
        <v>0.18262415367801443</v>
      </c>
      <c r="FE96" s="53"/>
      <c r="FF96" s="64">
        <f t="shared" ref="FF96" si="464">+FF75/FF71</f>
        <v>0.25067990483572516</v>
      </c>
      <c r="FG96" s="64">
        <f t="shared" ref="FG96" si="465">+FG75/FG71</f>
        <v>0.24799204560735785</v>
      </c>
      <c r="FH96" s="64">
        <f t="shared" ref="FH96" si="466">+FH75/FH71</f>
        <v>0.2476543602238819</v>
      </c>
      <c r="FI96" s="64">
        <f>+FI75/FI71</f>
        <v>0.24644901791783161</v>
      </c>
      <c r="FJ96" s="64">
        <f>+FJ75/FJ71</f>
        <v>0.27116617149690753</v>
      </c>
    </row>
    <row r="97" spans="1:181" x14ac:dyDescent="0.25">
      <c r="A97" s="102"/>
      <c r="B97" t="s">
        <v>206</v>
      </c>
      <c r="AP97" s="64">
        <f t="shared" ref="AP97:BB97" si="467">AP80/AP79</f>
        <v>0.31935573451818922</v>
      </c>
      <c r="AQ97" s="64">
        <f t="shared" si="467"/>
        <v>0.31638030092874975</v>
      </c>
      <c r="AR97" s="64">
        <f t="shared" si="467"/>
        <v>0.34428978701995655</v>
      </c>
      <c r="AS97" s="64">
        <f t="shared" si="467"/>
        <v>0.29423607160050752</v>
      </c>
      <c r="AT97" s="64">
        <f t="shared" si="467"/>
        <v>0.23286362550752307</v>
      </c>
      <c r="AU97" s="64">
        <f t="shared" si="467"/>
        <v>0.2848710381111253</v>
      </c>
      <c r="AV97" s="64">
        <f t="shared" si="467"/>
        <v>0.2667153818048959</v>
      </c>
      <c r="AW97" s="64">
        <f t="shared" si="467"/>
        <v>0.23525647861789473</v>
      </c>
      <c r="AX97" s="64">
        <f t="shared" si="467"/>
        <v>9.6808646985944338E-2</v>
      </c>
      <c r="AY97" s="64">
        <f t="shared" si="467"/>
        <v>0.20547180346175317</v>
      </c>
      <c r="AZ97" s="64">
        <f t="shared" si="467"/>
        <v>0.32179549902152643</v>
      </c>
      <c r="BA97" s="64">
        <f t="shared" si="467"/>
        <v>0.10236373532384734</v>
      </c>
      <c r="BB97" s="64">
        <f t="shared" si="467"/>
        <v>7.2875239357784644E-2</v>
      </c>
      <c r="BC97" s="64">
        <v>0.22</v>
      </c>
      <c r="BD97" s="64">
        <v>0.22</v>
      </c>
      <c r="BE97" s="64">
        <v>0.22</v>
      </c>
      <c r="BF97" s="64">
        <v>0.22</v>
      </c>
      <c r="BG97" s="64">
        <f t="shared" ref="BG97:BZ97" si="468">BG80/BG79</f>
        <v>0.24231121580944903</v>
      </c>
      <c r="BH97" s="64">
        <f t="shared" si="468"/>
        <v>0.24831347782402755</v>
      </c>
      <c r="BI97" s="64">
        <f t="shared" si="468"/>
        <v>7.8861236336688664E-2</v>
      </c>
      <c r="BJ97" s="64">
        <f t="shared" si="468"/>
        <v>0.21005613091944028</v>
      </c>
      <c r="BK97" s="64">
        <f t="shared" si="468"/>
        <v>0.27264573991031388</v>
      </c>
      <c r="BL97" s="64">
        <f t="shared" si="468"/>
        <v>0.22206943966998971</v>
      </c>
      <c r="BM97" s="64">
        <f t="shared" si="468"/>
        <v>0.21555204493593119</v>
      </c>
      <c r="BN97" s="64">
        <f t="shared" si="468"/>
        <v>0.16120365394948946</v>
      </c>
      <c r="BO97" s="64">
        <f t="shared" si="468"/>
        <v>0.20900931998619257</v>
      </c>
      <c r="BP97" s="64">
        <f t="shared" si="468"/>
        <v>0.20076941572493406</v>
      </c>
      <c r="BQ97" s="64">
        <f t="shared" si="468"/>
        <v>0.17926565874730019</v>
      </c>
      <c r="BR97" s="64">
        <f t="shared" si="468"/>
        <v>0.19874390546235837</v>
      </c>
      <c r="BS97" s="64">
        <f t="shared" si="468"/>
        <v>0.24435454211107024</v>
      </c>
      <c r="BT97" s="64">
        <f t="shared" si="468"/>
        <v>0.22108814846056535</v>
      </c>
      <c r="BU97" s="64">
        <f t="shared" si="468"/>
        <v>0.22108127084430404</v>
      </c>
      <c r="BV97" s="64">
        <f t="shared" si="468"/>
        <v>0.15225254850378164</v>
      </c>
      <c r="BW97" s="64">
        <f t="shared" si="468"/>
        <v>0.27284418573169084</v>
      </c>
      <c r="BX97" s="64">
        <f t="shared" si="468"/>
        <v>0.1955778003041054</v>
      </c>
      <c r="BY97" s="64">
        <f t="shared" si="468"/>
        <v>0.20503502048367916</v>
      </c>
      <c r="BZ97" s="64">
        <f t="shared" si="468"/>
        <v>0.18196328810853948</v>
      </c>
      <c r="CA97" s="64">
        <f t="shared" ref="CA97:CB97" si="469">CA80/CA79</f>
        <v>0.20106146630461597</v>
      </c>
      <c r="CB97" s="64">
        <f t="shared" si="469"/>
        <v>0.24843900096061469</v>
      </c>
      <c r="CC97" s="64">
        <f t="shared" ref="CC97:CD97" si="470">CC80/CC79</f>
        <v>0.25825275091697225</v>
      </c>
      <c r="CD97" s="64">
        <f t="shared" si="470"/>
        <v>0.11416689026026296</v>
      </c>
      <c r="CE97" s="64">
        <f t="shared" ref="CE97" si="471">CE80/CE79</f>
        <v>0.1109855618330195</v>
      </c>
      <c r="CF97" s="64">
        <f t="shared" ref="CF97" si="472">CF80/CF79</f>
        <v>6.2460417986067156E-2</v>
      </c>
      <c r="CG97" s="64">
        <f t="shared" ref="CG97" si="473">CG80/CG79</f>
        <v>0.27049716528565215</v>
      </c>
      <c r="CH97" s="64">
        <f t="shared" ref="CH97" si="474">CH80/CH79</f>
        <v>0</v>
      </c>
      <c r="CI97" s="64">
        <f t="shared" ref="CI97:CJ97" si="475">CI80/CI79</f>
        <v>0.12718329652680183</v>
      </c>
      <c r="CJ97" s="64">
        <f t="shared" si="475"/>
        <v>0.17466938847963084</v>
      </c>
      <c r="CK97" s="64">
        <f t="shared" ref="CK97:CL97" si="476">CK80/CK79</f>
        <v>0.20035350384695372</v>
      </c>
      <c r="CL97" s="64">
        <f t="shared" si="476"/>
        <v>0.11579961464354525</v>
      </c>
      <c r="CM97" s="64">
        <f t="shared" ref="CM97:CN97" si="477">CM80/CM79</f>
        <v>0.17621145374449337</v>
      </c>
      <c r="CN97" s="64">
        <f t="shared" si="477"/>
        <v>0.212238379423384</v>
      </c>
      <c r="CO97" s="64">
        <f t="shared" ref="CO97:CQ97" si="478">CO80/CO79</f>
        <v>3.2629384573552078E-2</v>
      </c>
      <c r="CP97" s="64">
        <f t="shared" si="478"/>
        <v>0</v>
      </c>
      <c r="CQ97" s="64">
        <f t="shared" si="478"/>
        <v>0.34500848634469994</v>
      </c>
      <c r="CR97" s="64">
        <f t="shared" ref="CR97" si="479">CR80/CR79</f>
        <v>0.16262210481046876</v>
      </c>
      <c r="CS97" s="64">
        <f t="shared" ref="CS97" si="480">CS80/CS79</f>
        <v>0.16815638865667804</v>
      </c>
      <c r="CT97" s="64">
        <f t="shared" ref="CT97:CU97" si="481">CT80/CT79</f>
        <v>0</v>
      </c>
      <c r="CU97" s="64">
        <f t="shared" si="481"/>
        <v>0.14349424927626972</v>
      </c>
      <c r="CV97" s="64">
        <f t="shared" ref="CV97:CW97" si="482">CV80/CV79</f>
        <v>0.10414560161779569</v>
      </c>
      <c r="CW97" s="64">
        <f t="shared" si="482"/>
        <v>0.12210997355752924</v>
      </c>
      <c r="CX97" s="64">
        <f t="shared" ref="CX97:CY97" si="483">CX80/CX79</f>
        <v>0.10997240835632641</v>
      </c>
      <c r="CY97" s="64">
        <f t="shared" si="483"/>
        <v>0.14963763811334227</v>
      </c>
      <c r="CZ97" s="64">
        <f t="shared" ref="CZ97:DF97" si="484">CZ80/CZ79</f>
        <v>0.15867689357622258</v>
      </c>
      <c r="DA97" s="64">
        <f t="shared" si="484"/>
        <v>0.18152418447694052</v>
      </c>
      <c r="DB97" s="64">
        <f t="shared" si="484"/>
        <v>0.15692650334075731</v>
      </c>
      <c r="DC97" s="64">
        <f t="shared" si="484"/>
        <v>7.4556151403134235E-2</v>
      </c>
      <c r="DD97" s="64">
        <f t="shared" si="484"/>
        <v>0.1070977917981074</v>
      </c>
      <c r="DE97" s="64">
        <f t="shared" si="484"/>
        <v>0.1475739883229315</v>
      </c>
      <c r="DF97" s="64">
        <f t="shared" si="484"/>
        <v>4.903059026281776E-2</v>
      </c>
      <c r="DG97" s="64">
        <f>DG80/DG79</f>
        <v>9.7358034349109293E-2</v>
      </c>
      <c r="DH97" s="64">
        <f t="shared" ref="DH97:DN97" si="485">DH80/DH79</f>
        <v>9.9000475963826662E-2</v>
      </c>
      <c r="DI97" s="64">
        <f t="shared" si="485"/>
        <v>6.2040015264678644E-2</v>
      </c>
      <c r="DJ97" s="64">
        <f t="shared" si="485"/>
        <v>7.6709333576276545E-2</v>
      </c>
      <c r="DK97" s="64">
        <f t="shared" si="485"/>
        <v>0.10939442372580366</v>
      </c>
      <c r="DL97" s="64">
        <f t="shared" si="485"/>
        <v>0.18023352332466389</v>
      </c>
      <c r="DM97" s="64">
        <f t="shared" si="485"/>
        <v>0.1</v>
      </c>
      <c r="DN97" s="64">
        <f t="shared" si="485"/>
        <v>0.10226176115802164</v>
      </c>
      <c r="DO97" s="64">
        <f t="shared" ref="DO97:DR97" si="486">DO80/DO79</f>
        <v>0.11701852331127298</v>
      </c>
      <c r="DP97" s="64">
        <f t="shared" si="486"/>
        <v>0.15859811809627719</v>
      </c>
      <c r="DQ97" s="64">
        <f t="shared" si="486"/>
        <v>0.13332901917642731</v>
      </c>
      <c r="DR97" s="64">
        <f t="shared" si="486"/>
        <v>0.15</v>
      </c>
      <c r="DS97" s="64">
        <f t="shared" ref="DS97:DV97" si="487">DS80/DS79</f>
        <v>0.13143449966990473</v>
      </c>
      <c r="DT97" s="64">
        <f t="shared" si="487"/>
        <v>0.20000000000000004</v>
      </c>
      <c r="DU97" s="64">
        <f t="shared" si="487"/>
        <v>0.2</v>
      </c>
      <c r="DV97" s="64">
        <f t="shared" si="487"/>
        <v>0.2</v>
      </c>
      <c r="FE97" s="53"/>
      <c r="FF97" s="79">
        <f t="shared" ref="FF97" si="488">+FF80/FF79</f>
        <v>0.10710881217671239</v>
      </c>
      <c r="FG97" s="79">
        <f t="shared" ref="FG97" si="489">+FG80/FG79</f>
        <v>0.14657967364218533</v>
      </c>
      <c r="FH97" s="79">
        <f t="shared" ref="FH97" si="490">+FH80/FH79</f>
        <v>8.8339719478328124E-2</v>
      </c>
      <c r="FI97" s="79">
        <f>+FI80/FI79</f>
        <v>8.5151237396883531E-2</v>
      </c>
      <c r="FJ97" s="79">
        <f t="shared" ref="FJ97:FQ97" si="491">+FJ80/FJ79</f>
        <v>0.11878002620468768</v>
      </c>
      <c r="FK97" s="79">
        <f t="shared" si="491"/>
        <v>0.14000000000000001</v>
      </c>
      <c r="FL97" s="79">
        <f t="shared" si="491"/>
        <v>0.19999999999999998</v>
      </c>
      <c r="FM97" s="79">
        <f t="shared" si="491"/>
        <v>0.2</v>
      </c>
      <c r="FN97" s="79">
        <f t="shared" si="491"/>
        <v>0.20000000000000004</v>
      </c>
      <c r="FO97" s="79">
        <f t="shared" si="491"/>
        <v>0.2</v>
      </c>
      <c r="FP97" s="79">
        <f t="shared" si="491"/>
        <v>0.2</v>
      </c>
      <c r="FQ97" s="79">
        <f t="shared" si="491"/>
        <v>0.2</v>
      </c>
      <c r="FR97" s="79">
        <f t="shared" ref="FR97:FV97" si="492">+FR80/FR79</f>
        <v>0.2</v>
      </c>
      <c r="FS97" s="79">
        <f t="shared" si="492"/>
        <v>0.2</v>
      </c>
      <c r="FT97" s="79">
        <f t="shared" si="492"/>
        <v>0.19999999999999998</v>
      </c>
      <c r="FU97" s="79">
        <f t="shared" si="492"/>
        <v>0.2</v>
      </c>
      <c r="FV97" s="79">
        <f t="shared" si="492"/>
        <v>0.19999999999999998</v>
      </c>
      <c r="FX97" s="52" t="s">
        <v>268</v>
      </c>
      <c r="FY97" s="66">
        <v>0.02</v>
      </c>
    </row>
    <row r="98" spans="1:181" x14ac:dyDescent="0.25">
      <c r="A98" s="102"/>
      <c r="FX98" s="47" t="s">
        <v>242</v>
      </c>
      <c r="FY98" s="63">
        <v>0</v>
      </c>
    </row>
    <row r="99" spans="1:181" x14ac:dyDescent="0.25">
      <c r="A99" s="102"/>
      <c r="B99" t="s">
        <v>187</v>
      </c>
      <c r="BJ99" s="51">
        <f>4498-6662+1155.8</f>
        <v>-1008.2</v>
      </c>
      <c r="BK99" s="51">
        <f>+BJ99+BK81</f>
        <v>289.39999999999986</v>
      </c>
      <c r="BO99" s="51">
        <f>+BO101-BO114</f>
        <v>1939.5</v>
      </c>
      <c r="BP99" s="51">
        <f t="shared" ref="BP99" si="493">+BP101-BP114</f>
        <v>2544.1999999999989</v>
      </c>
      <c r="BQ99" s="51">
        <f t="shared" ref="BQ99" si="494">+BQ101-BQ114</f>
        <v>2923.8999999999996</v>
      </c>
      <c r="BR99" s="51">
        <f>+BR101-BR114</f>
        <v>3939.9000000000015</v>
      </c>
      <c r="BS99" s="51">
        <f>+BS101-BS114</f>
        <v>4031.9000000000005</v>
      </c>
      <c r="BT99" s="51">
        <f>+BT101-BT114</f>
        <v>4299.8</v>
      </c>
      <c r="BU99" s="51">
        <f>+BU101-BU114</f>
        <v>6604.2000000000007</v>
      </c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>
        <f t="shared" ref="CU99:CX99" si="495">+CU101-CU114</f>
        <v>-11716.6</v>
      </c>
      <c r="CV99" s="51">
        <f t="shared" si="495"/>
        <v>-11565.600000000002</v>
      </c>
      <c r="CW99" s="51">
        <f t="shared" si="495"/>
        <v>-11747</v>
      </c>
      <c r="CX99" s="51">
        <f t="shared" si="495"/>
        <v>-10916.3</v>
      </c>
      <c r="CY99" s="51">
        <f t="shared" ref="CY99:DB99" si="496">+CY101-CY114</f>
        <v>-13304.199999999999</v>
      </c>
      <c r="CZ99" s="51">
        <f t="shared" si="496"/>
        <v>-11533.899999999998</v>
      </c>
      <c r="DA99" s="51">
        <f t="shared" si="496"/>
        <v>-10815.599999999999</v>
      </c>
      <c r="DB99" s="51">
        <f t="shared" si="496"/>
        <v>-9947.1999999999989</v>
      </c>
      <c r="DC99" s="51">
        <f t="shared" ref="DC99" si="497">+DC101-DC114</f>
        <v>-9920.7000000000007</v>
      </c>
      <c r="DD99" s="51">
        <f t="shared" ref="DD99" si="498">+DD101-DD114</f>
        <v>-9768.9999999999982</v>
      </c>
      <c r="DE99" s="51">
        <f t="shared" ref="DE99:DQ99" si="499">+DE101-DE114</f>
        <v>-9909.6000000000022</v>
      </c>
      <c r="DF99" s="51">
        <f t="shared" si="499"/>
        <v>-9763.5</v>
      </c>
      <c r="DG99" s="51">
        <f t="shared" si="499"/>
        <v>-11213.199999999999</v>
      </c>
      <c r="DH99" s="51">
        <f t="shared" si="499"/>
        <v>-11489.9</v>
      </c>
      <c r="DI99" s="51">
        <f t="shared" si="499"/>
        <v>-10571.7</v>
      </c>
      <c r="DJ99" s="51">
        <f t="shared" si="499"/>
        <v>-11125</v>
      </c>
      <c r="DK99" s="51">
        <f t="shared" si="499"/>
        <v>-12463.899999999998</v>
      </c>
      <c r="DL99" s="51">
        <f t="shared" si="499"/>
        <v>-13245.8</v>
      </c>
      <c r="DM99" s="51">
        <f t="shared" si="499"/>
        <v>-14982.699999999999</v>
      </c>
      <c r="DN99" s="51">
        <f t="shared" si="499"/>
        <v>-19245.400000000001</v>
      </c>
      <c r="DO99" s="51">
        <f t="shared" si="499"/>
        <v>-20538.2</v>
      </c>
      <c r="DP99" s="51">
        <f t="shared" si="499"/>
        <v>-22650.400000000001</v>
      </c>
      <c r="DQ99" s="51">
        <f t="shared" si="499"/>
        <v>-24401.1</v>
      </c>
      <c r="DR99" s="51">
        <f>+DR101-DR114</f>
        <v>-27005.1</v>
      </c>
      <c r="DS99" s="51">
        <f>+DS101-DS114</f>
        <v>-32072.5</v>
      </c>
      <c r="DT99" s="51">
        <f t="shared" ref="DT99:DV99" si="500">+DT101-DT114</f>
        <v>0</v>
      </c>
      <c r="DU99" s="51">
        <f t="shared" si="500"/>
        <v>0</v>
      </c>
      <c r="DV99" s="51">
        <f t="shared" si="500"/>
        <v>0</v>
      </c>
      <c r="ET99" s="51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F99" s="49">
        <f>+CX99</f>
        <v>-10916.3</v>
      </c>
      <c r="FG99" s="49">
        <f>+DB99</f>
        <v>-9947.1999999999989</v>
      </c>
      <c r="FH99" s="49">
        <f>+DF99</f>
        <v>-9763.5</v>
      </c>
      <c r="FI99" s="49">
        <f>+DJ99</f>
        <v>-11125</v>
      </c>
      <c r="FJ99" s="49">
        <f>+DN99</f>
        <v>-19245.400000000001</v>
      </c>
      <c r="FK99" s="49">
        <f t="shared" ref="FK99:FQ99" si="501">+FJ99+FK81</f>
        <v>-4123.6466740000124</v>
      </c>
      <c r="FL99" s="49">
        <f t="shared" si="501"/>
        <v>13531.416291215997</v>
      </c>
      <c r="FM99" s="49">
        <f t="shared" si="501"/>
        <v>45406.65927139546</v>
      </c>
      <c r="FN99" s="49">
        <f t="shared" si="501"/>
        <v>85909.623924212996</v>
      </c>
      <c r="FO99" s="49">
        <f t="shared" si="501"/>
        <v>134788.31132205634</v>
      </c>
      <c r="FP99" s="49">
        <f t="shared" si="501"/>
        <v>190072.89165907336</v>
      </c>
      <c r="FQ99" s="49">
        <f t="shared" si="501"/>
        <v>251566.72783942195</v>
      </c>
      <c r="FR99" s="49">
        <f t="shared" ref="FR99" si="502">+FQ99+FR81</f>
        <v>314586.1247459224</v>
      </c>
      <c r="FS99" s="49">
        <f t="shared" ref="FS99" si="503">+FR99+FS81</f>
        <v>380204.92914706073</v>
      </c>
      <c r="FT99" s="49">
        <f t="shared" ref="FT99" si="504">+FS99+FT81</f>
        <v>448979.36865585129</v>
      </c>
      <c r="FU99" s="49">
        <f t="shared" ref="FU99" si="505">+FT99+FU81</f>
        <v>521413.35055283247</v>
      </c>
      <c r="FV99" s="49">
        <f t="shared" ref="FV99" si="506">+FU99+FV81</f>
        <v>593781.11859837535</v>
      </c>
      <c r="FX99" s="47" t="s">
        <v>241</v>
      </c>
      <c r="FY99" s="63">
        <v>7.0000000000000007E-2</v>
      </c>
    </row>
    <row r="100" spans="1:181" x14ac:dyDescent="0.25">
      <c r="A100" s="102"/>
      <c r="FX100" s="47" t="s">
        <v>243</v>
      </c>
      <c r="FY100" s="51">
        <f>NPV(FY99,FL81:IS81)+Main!J5-Main!J6</f>
        <v>836706.60364292131</v>
      </c>
    </row>
    <row r="101" spans="1:181" s="49" customFormat="1" ht="13" x14ac:dyDescent="0.3">
      <c r="A101" s="98"/>
      <c r="B101" s="49" t="s">
        <v>174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>
        <f>5993.2+733.8+1779.5</f>
        <v>8506.5</v>
      </c>
      <c r="BO101" s="51">
        <f>6506.4+206.7+1898.7</f>
        <v>8611.7999999999993</v>
      </c>
      <c r="BP101" s="51">
        <f>6113.5+216.3+2943</f>
        <v>9272.7999999999993</v>
      </c>
      <c r="BQ101" s="51">
        <f>6597.7+186.6+3219.6</f>
        <v>10003.9</v>
      </c>
      <c r="BR101" s="51">
        <f>5922.5+974.6+4029.8</f>
        <v>10926.900000000001</v>
      </c>
      <c r="BS101" s="51">
        <f>4122.2+802.4+4521.1</f>
        <v>9445.7000000000007</v>
      </c>
      <c r="BT101" s="51">
        <f>4345.8+915.7+4547.6</f>
        <v>9809.1</v>
      </c>
      <c r="BU101" s="51">
        <f>5319.2+1580.7+5224.3</f>
        <v>12124.2</v>
      </c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>
        <f>2036.4+100.7+2111.4</f>
        <v>4248.5</v>
      </c>
      <c r="CV101" s="51">
        <f>2290.2+77.7+1852.7</f>
        <v>4220.5999999999995</v>
      </c>
      <c r="CW101" s="51">
        <f>1563.8+89.2+1825.3</f>
        <v>3478.3</v>
      </c>
      <c r="CX101" s="51">
        <f>2337.5+101+1962.4</f>
        <v>4400.8999999999996</v>
      </c>
      <c r="CY101" s="51">
        <f>1699+78.4+2148.7</f>
        <v>3926.1</v>
      </c>
      <c r="CZ101" s="51">
        <f>2365.1+22.8+2406.4</f>
        <v>4794.3</v>
      </c>
      <c r="DA101" s="51">
        <f>3595.3+35+2476.2</f>
        <v>6106.5</v>
      </c>
      <c r="DB101" s="51">
        <f>3657.1+24.2+2966.8</f>
        <v>6648.1</v>
      </c>
      <c r="DC101" s="51">
        <f>3002.4+49+3232.4</f>
        <v>6283.8</v>
      </c>
      <c r="DD101" s="51">
        <f>3220+51.2+3474.9</f>
        <v>6746.1</v>
      </c>
      <c r="DE101" s="51">
        <f>3788.2+37.1+3350.5</f>
        <v>7175.7999999999993</v>
      </c>
      <c r="DF101" s="51">
        <f>3818.5+90.1+3212.6</f>
        <v>7121.2</v>
      </c>
      <c r="DG101" s="51">
        <f>2459.2+109.1+2727.3</f>
        <v>5295.6</v>
      </c>
      <c r="DH101" s="51">
        <f>2622.9+113.8+2587.2</f>
        <v>5323.9</v>
      </c>
      <c r="DI101" s="51">
        <f>2617.4+124.7+2574.6</f>
        <v>5316.7</v>
      </c>
      <c r="DJ101" s="51">
        <f>2067+144.8+2901.8</f>
        <v>5113.6000000000004</v>
      </c>
      <c r="DK101" s="51">
        <f>3545.9+123.4+2750.4</f>
        <v>6419.7000000000007</v>
      </c>
      <c r="DL101" s="51">
        <f>2694.5+134.6+2745.1</f>
        <v>5574.2</v>
      </c>
      <c r="DM101" s="51">
        <f>2380.8+113.1+2691.7</f>
        <v>5185.6000000000004</v>
      </c>
      <c r="DN101" s="51">
        <f>2818.6+109.1+3052.2</f>
        <v>5979.9</v>
      </c>
      <c r="DO101" s="51">
        <f>2460.2+126.1+3086.9</f>
        <v>5673.2</v>
      </c>
      <c r="DP101" s="51">
        <f>3223.6+140.4+2877.6</f>
        <v>6241.6</v>
      </c>
      <c r="DQ101" s="51">
        <f>3369+149.4+3200.2</f>
        <v>6718.6</v>
      </c>
      <c r="DR101" s="51">
        <f>3268.4+154.8+3215.9</f>
        <v>6639.1</v>
      </c>
      <c r="DS101" s="51">
        <f>3093.3+127.4+3222.7</f>
        <v>6443.4</v>
      </c>
      <c r="DT101" s="51"/>
      <c r="DU101" s="51"/>
      <c r="DV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F101" s="49">
        <f t="shared" ref="FF101:FF125" si="507">+CX101</f>
        <v>4400.8999999999996</v>
      </c>
      <c r="FG101" s="49">
        <f t="shared" ref="FG101:FG112" si="508">+DB101</f>
        <v>6648.1</v>
      </c>
      <c r="FH101" s="49">
        <f t="shared" ref="FH101:FH127" si="509">+DF101</f>
        <v>7121.2</v>
      </c>
      <c r="FI101" s="49">
        <f t="shared" ref="FI101:FI127" si="510">+DJ101</f>
        <v>5113.6000000000004</v>
      </c>
      <c r="FJ101" s="49">
        <f>+DN101</f>
        <v>5979.9</v>
      </c>
      <c r="FX101" s="60" t="s">
        <v>264</v>
      </c>
      <c r="FY101" s="65">
        <f>+FY100/Main!J3</f>
        <v>929.05463429149597</v>
      </c>
    </row>
    <row r="102" spans="1:181" s="49" customFormat="1" x14ac:dyDescent="0.25">
      <c r="A102" s="98"/>
      <c r="B102" s="50" t="s">
        <v>284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>
        <v>3493.8</v>
      </c>
      <c r="BO102" s="51">
        <v>3694.3</v>
      </c>
      <c r="BP102" s="51">
        <v>3833.6</v>
      </c>
      <c r="BQ102" s="51">
        <v>3533.2</v>
      </c>
      <c r="BR102" s="51">
        <v>3597.7</v>
      </c>
      <c r="BS102" s="51">
        <v>3402.1</v>
      </c>
      <c r="BT102" s="51">
        <v>3181.7</v>
      </c>
      <c r="BU102" s="51">
        <v>3268.2</v>
      </c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>
        <v>4200.5</v>
      </c>
      <c r="CV102" s="51">
        <v>4612.5</v>
      </c>
      <c r="CW102" s="51">
        <v>4441.7</v>
      </c>
      <c r="CX102" s="51">
        <v>4547.3</v>
      </c>
      <c r="CY102" s="51">
        <v>5106.1000000000004</v>
      </c>
      <c r="CZ102" s="51">
        <v>4828.8999999999996</v>
      </c>
      <c r="DA102" s="51">
        <v>4886.7</v>
      </c>
      <c r="DB102" s="51">
        <v>5875.3</v>
      </c>
      <c r="DC102" s="51">
        <v>5592.8</v>
      </c>
      <c r="DD102" s="51">
        <v>5829.4</v>
      </c>
      <c r="DE102" s="51">
        <v>5914.3</v>
      </c>
      <c r="DF102" s="51">
        <v>6672.8</v>
      </c>
      <c r="DG102" s="51">
        <v>6322.5</v>
      </c>
      <c r="DH102" s="51">
        <v>6364.5</v>
      </c>
      <c r="DI102" s="51">
        <v>6715.3</v>
      </c>
      <c r="DJ102" s="51">
        <v>6896</v>
      </c>
      <c r="DK102" s="51">
        <v>7526.2</v>
      </c>
      <c r="DL102" s="51">
        <v>7516.1</v>
      </c>
      <c r="DM102" s="51">
        <v>8167.1</v>
      </c>
      <c r="DN102" s="51">
        <v>9090.5</v>
      </c>
      <c r="DO102" s="51">
        <v>7885.6</v>
      </c>
      <c r="DP102" s="51">
        <v>11027.9</v>
      </c>
      <c r="DQ102" s="51">
        <v>10294.799999999999</v>
      </c>
      <c r="DR102" s="51">
        <v>11005.7</v>
      </c>
      <c r="DS102" s="51">
        <v>12036.6</v>
      </c>
      <c r="DT102" s="51"/>
      <c r="DU102" s="51"/>
      <c r="DV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F102" s="49">
        <f t="shared" si="507"/>
        <v>4547.3</v>
      </c>
      <c r="FG102" s="49">
        <f t="shared" si="508"/>
        <v>5875.3</v>
      </c>
      <c r="FH102" s="49">
        <f t="shared" si="509"/>
        <v>6672.8</v>
      </c>
      <c r="FI102" s="49">
        <f t="shared" si="510"/>
        <v>6896</v>
      </c>
      <c r="FJ102" s="49">
        <f t="shared" ref="FJ102:FJ125" si="511">+DN102</f>
        <v>9090.5</v>
      </c>
    </row>
    <row r="103" spans="1:181" s="49" customFormat="1" x14ac:dyDescent="0.25">
      <c r="A103" s="98"/>
      <c r="B103" s="50" t="s">
        <v>285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>
        <v>664.3</v>
      </c>
      <c r="BO103" s="51">
        <v>488.8</v>
      </c>
      <c r="BP103" s="51">
        <v>612.9</v>
      </c>
      <c r="BQ103" s="51">
        <v>564.4</v>
      </c>
      <c r="BR103" s="51">
        <v>640.20000000000005</v>
      </c>
      <c r="BS103" s="51">
        <v>529.20000000000005</v>
      </c>
      <c r="BT103" s="51">
        <v>590</v>
      </c>
      <c r="BU103" s="51">
        <v>527.29999999999995</v>
      </c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>
        <v>977.5</v>
      </c>
      <c r="CV103" s="51">
        <v>977.5</v>
      </c>
      <c r="CW103" s="51">
        <v>1096.2</v>
      </c>
      <c r="CX103" s="51">
        <v>994.2</v>
      </c>
      <c r="CY103" s="51">
        <v>1246.4000000000001</v>
      </c>
      <c r="CZ103" s="51">
        <v>946.7</v>
      </c>
      <c r="DA103" s="51">
        <v>958.1</v>
      </c>
      <c r="DB103" s="51">
        <v>1053.7</v>
      </c>
      <c r="DC103" s="51">
        <v>1065.8</v>
      </c>
      <c r="DD103" s="51">
        <v>1073.4000000000001</v>
      </c>
      <c r="DE103" s="51">
        <v>1110.7</v>
      </c>
      <c r="DF103" s="51">
        <v>1454.4</v>
      </c>
      <c r="DG103" s="51">
        <v>1483.2</v>
      </c>
      <c r="DH103" s="51">
        <v>1307.9000000000001</v>
      </c>
      <c r="DI103" s="51">
        <v>1609.5</v>
      </c>
      <c r="DJ103" s="51">
        <v>1662.9</v>
      </c>
      <c r="DK103" s="51">
        <v>1495.9</v>
      </c>
      <c r="DL103" s="51">
        <v>1655.3</v>
      </c>
      <c r="DM103" s="51">
        <v>2196.6999999999998</v>
      </c>
      <c r="DN103" s="51">
        <v>2245.6999999999998</v>
      </c>
      <c r="DO103" s="51">
        <v>2127.9</v>
      </c>
      <c r="DP103" s="51">
        <v>2051.1</v>
      </c>
      <c r="DQ103" s="51">
        <v>1756.9</v>
      </c>
      <c r="DR103" s="51">
        <v>2269.6999999999998</v>
      </c>
      <c r="DS103" s="51">
        <v>1966.6</v>
      </c>
      <c r="DT103" s="51"/>
      <c r="DU103" s="51"/>
      <c r="DV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F103" s="49">
        <f t="shared" si="507"/>
        <v>994.2</v>
      </c>
      <c r="FG103" s="49">
        <f t="shared" si="508"/>
        <v>1053.7</v>
      </c>
      <c r="FH103" s="49">
        <f t="shared" si="509"/>
        <v>1454.4</v>
      </c>
      <c r="FI103" s="49">
        <f t="shared" si="510"/>
        <v>1662.9</v>
      </c>
      <c r="FJ103" s="49">
        <f t="shared" si="511"/>
        <v>2245.6999999999998</v>
      </c>
    </row>
    <row r="104" spans="1:181" s="49" customFormat="1" x14ac:dyDescent="0.25">
      <c r="A104" s="98"/>
      <c r="B104" s="50" t="s">
        <v>286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>
        <v>2517.6999999999998</v>
      </c>
      <c r="BO104" s="51">
        <v>2767.2</v>
      </c>
      <c r="BP104" s="51">
        <v>2870.2</v>
      </c>
      <c r="BQ104" s="51">
        <v>2513.3000000000002</v>
      </c>
      <c r="BR104" s="51">
        <v>2299.8000000000002</v>
      </c>
      <c r="BS104" s="51">
        <v>2424.1999999999998</v>
      </c>
      <c r="BT104" s="51">
        <v>2320.8000000000002</v>
      </c>
      <c r="BU104" s="51">
        <v>2553.4</v>
      </c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>
        <v>3055.2</v>
      </c>
      <c r="CV104" s="51">
        <v>3181.1</v>
      </c>
      <c r="CW104" s="51">
        <v>3101.3</v>
      </c>
      <c r="CX104" s="51">
        <v>3190.7</v>
      </c>
      <c r="CY104" s="51">
        <v>3102.4</v>
      </c>
      <c r="CZ104" s="51">
        <v>3313.9</v>
      </c>
      <c r="DA104" s="51">
        <v>3555.4</v>
      </c>
      <c r="DB104" s="51">
        <v>3980.3</v>
      </c>
      <c r="DC104" s="51">
        <v>3660.8</v>
      </c>
      <c r="DD104" s="51">
        <v>3824.9</v>
      </c>
      <c r="DE104" s="51">
        <v>3907.4</v>
      </c>
      <c r="DF104" s="51">
        <v>3886</v>
      </c>
      <c r="DG104" s="51">
        <v>3893</v>
      </c>
      <c r="DH104" s="51">
        <v>3899.4</v>
      </c>
      <c r="DI104" s="51">
        <v>3831.1</v>
      </c>
      <c r="DJ104" s="51">
        <v>4309.7</v>
      </c>
      <c r="DK104" s="51">
        <v>4544.8</v>
      </c>
      <c r="DL104" s="51">
        <v>4798.7</v>
      </c>
      <c r="DM104" s="51">
        <v>4901.3999999999996</v>
      </c>
      <c r="DN104" s="51">
        <v>5772.8</v>
      </c>
      <c r="DO104" s="51">
        <v>6101.8</v>
      </c>
      <c r="DP104" s="51">
        <v>6481.5</v>
      </c>
      <c r="DQ104" s="51">
        <v>7459.8</v>
      </c>
      <c r="DR104" s="51">
        <v>7589.2</v>
      </c>
      <c r="DS104" s="51">
        <v>9311</v>
      </c>
      <c r="DT104" s="51"/>
      <c r="DU104" s="51"/>
      <c r="DV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F104" s="49">
        <f t="shared" si="507"/>
        <v>3190.7</v>
      </c>
      <c r="FG104" s="49">
        <f t="shared" si="508"/>
        <v>3980.3</v>
      </c>
      <c r="FH104" s="49">
        <f t="shared" si="509"/>
        <v>3886</v>
      </c>
      <c r="FI104" s="49">
        <f t="shared" si="510"/>
        <v>4309.7</v>
      </c>
      <c r="FJ104" s="49">
        <f t="shared" si="511"/>
        <v>5772.8</v>
      </c>
    </row>
    <row r="105" spans="1:181" s="49" customFormat="1" x14ac:dyDescent="0.25">
      <c r="A105" s="98"/>
      <c r="B105" s="50" t="s">
        <v>287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>
        <v>828.3</v>
      </c>
      <c r="BO105" s="51">
        <v>550.1</v>
      </c>
      <c r="BP105" s="51">
        <v>436.5</v>
      </c>
      <c r="BQ105" s="51">
        <v>378.4</v>
      </c>
      <c r="BR105" s="51">
        <v>158.5</v>
      </c>
      <c r="BS105" s="51">
        <v>324</v>
      </c>
      <c r="BT105" s="51">
        <v>0</v>
      </c>
      <c r="BU105" s="51">
        <v>0</v>
      </c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>
        <v>2227.1999999999998</v>
      </c>
      <c r="CV105" s="51">
        <v>2315.5</v>
      </c>
      <c r="CW105" s="51">
        <v>2369.6</v>
      </c>
      <c r="CX105" s="51">
        <v>2538.9</v>
      </c>
      <c r="CY105" s="51">
        <v>2761.9</v>
      </c>
      <c r="CZ105" s="51">
        <v>3104.5</v>
      </c>
      <c r="DA105" s="51">
        <v>3209.4</v>
      </c>
      <c r="DB105" s="51">
        <v>2871.5</v>
      </c>
      <c r="DC105" s="51">
        <v>3233.7</v>
      </c>
      <c r="DD105" s="51">
        <v>3296.6</v>
      </c>
      <c r="DE105" s="51">
        <v>3050.6</v>
      </c>
      <c r="DF105" s="51">
        <v>2530.6</v>
      </c>
      <c r="DG105" s="51">
        <v>2697.7</v>
      </c>
      <c r="DH105" s="51">
        <v>2806.7</v>
      </c>
      <c r="DI105" s="51">
        <v>2741.9</v>
      </c>
      <c r="DJ105" s="51">
        <v>2954.1</v>
      </c>
      <c r="DK105" s="51">
        <v>3575.2</v>
      </c>
      <c r="DL105" s="51">
        <v>4532.3999999999996</v>
      </c>
      <c r="DM105" s="51">
        <v>5247.9</v>
      </c>
      <c r="DN105" s="51">
        <v>5540.8</v>
      </c>
      <c r="DO105" s="51">
        <v>6348.6</v>
      </c>
      <c r="DP105" s="51">
        <v>7137.6</v>
      </c>
      <c r="DQ105" s="51">
        <v>8250.6</v>
      </c>
      <c r="DR105" s="51">
        <v>8340.5</v>
      </c>
      <c r="DS105" s="51">
        <v>14653.9</v>
      </c>
      <c r="DT105" s="51"/>
      <c r="DU105" s="51"/>
      <c r="DV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F105" s="49">
        <f t="shared" si="507"/>
        <v>2538.9</v>
      </c>
      <c r="FG105" s="49">
        <f t="shared" si="508"/>
        <v>2871.5</v>
      </c>
      <c r="FH105" s="49">
        <f t="shared" si="509"/>
        <v>2530.6</v>
      </c>
      <c r="FI105" s="49">
        <f t="shared" si="510"/>
        <v>2954.1</v>
      </c>
      <c r="FJ105" s="49">
        <f t="shared" si="511"/>
        <v>5540.8</v>
      </c>
    </row>
    <row r="106" spans="1:181" s="49" customFormat="1" x14ac:dyDescent="0.25">
      <c r="A106" s="98"/>
      <c r="B106" s="50" t="s">
        <v>288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>
        <v>608.9</v>
      </c>
      <c r="BO106" s="51">
        <v>1140.8</v>
      </c>
      <c r="BP106" s="51">
        <v>867.3</v>
      </c>
      <c r="BQ106" s="51">
        <v>799.1</v>
      </c>
      <c r="BR106" s="51">
        <v>654.9</v>
      </c>
      <c r="BS106" s="51">
        <v>998.5</v>
      </c>
      <c r="BT106" s="51">
        <v>953.3</v>
      </c>
      <c r="BU106" s="51">
        <v>790.1</v>
      </c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>
        <v>149.5</v>
      </c>
      <c r="DO106" s="51">
        <v>138.6</v>
      </c>
      <c r="DP106" s="51">
        <v>142.19999999999999</v>
      </c>
      <c r="DQ106" s="51">
        <v>134.6</v>
      </c>
      <c r="DR106" s="51">
        <v>111.4</v>
      </c>
      <c r="DS106" s="51">
        <v>72.400000000000006</v>
      </c>
      <c r="DT106" s="51"/>
      <c r="DU106" s="51"/>
      <c r="DV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F106" s="49">
        <f t="shared" si="507"/>
        <v>0</v>
      </c>
      <c r="FG106" s="49">
        <f t="shared" si="508"/>
        <v>0</v>
      </c>
      <c r="FI106" s="49">
        <f t="shared" si="510"/>
        <v>0</v>
      </c>
      <c r="FJ106" s="49">
        <f t="shared" si="511"/>
        <v>149.5</v>
      </c>
    </row>
    <row r="107" spans="1:181" s="49" customFormat="1" x14ac:dyDescent="0.25">
      <c r="A107" s="98"/>
      <c r="B107" s="50" t="s">
        <v>289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>
        <v>4818.8</v>
      </c>
      <c r="BO107" s="51">
        <v>4731.3</v>
      </c>
      <c r="BP107" s="51">
        <v>4955.3999999999996</v>
      </c>
      <c r="BQ107" s="51">
        <v>5221.8999999999996</v>
      </c>
      <c r="BR107" s="51">
        <v>5128.1000000000004</v>
      </c>
      <c r="BS107" s="51">
        <v>5266.7</v>
      </c>
      <c r="BT107" s="51">
        <v>5142.8</v>
      </c>
      <c r="BU107" s="51">
        <v>5031.1000000000004</v>
      </c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>
        <f>3855.9+6641.5</f>
        <v>10497.4</v>
      </c>
      <c r="CV107" s="51">
        <f>3820.1+6586.6</f>
        <v>10406.700000000001</v>
      </c>
      <c r="CW107" s="51">
        <f>3772.5+6689.3</f>
        <v>10461.799999999999</v>
      </c>
      <c r="CX107" s="51">
        <f>3679.4+6618</f>
        <v>10297.4</v>
      </c>
      <c r="CY107" s="51">
        <f>3779.1+7766.7</f>
        <v>11545.8</v>
      </c>
      <c r="CZ107" s="51">
        <f>3723.2+7712.5</f>
        <v>11435.7</v>
      </c>
      <c r="DA107" s="51">
        <f>3726.4+7588.6</f>
        <v>11315</v>
      </c>
      <c r="DB107" s="51">
        <f>3766.5+7450</f>
        <v>11216.5</v>
      </c>
      <c r="DC107" s="51">
        <f>3877.4+8087.8</f>
        <v>11965.2</v>
      </c>
      <c r="DD107" s="51">
        <f>3884.2+7985.4</f>
        <v>11869.599999999999</v>
      </c>
      <c r="DE107" s="51">
        <f>3884.1+7887.7</f>
        <v>11771.8</v>
      </c>
      <c r="DF107" s="51">
        <f>3892+7691.9</f>
        <v>11583.9</v>
      </c>
      <c r="DG107" s="51">
        <f>3892+7482.4</f>
        <v>11374.4</v>
      </c>
      <c r="DH107" s="51">
        <f>3891.8+7497.7</f>
        <v>11389.5</v>
      </c>
      <c r="DI107" s="52">
        <f>3891.6+7124.1</f>
        <v>11015.7</v>
      </c>
      <c r="DJ107" s="51">
        <f>4073+7206.6</f>
        <v>11279.6</v>
      </c>
      <c r="DK107" s="51">
        <f>4073.1+7087.1</f>
        <v>11160.2</v>
      </c>
      <c r="DL107" s="51">
        <f>4078.9+6903.5</f>
        <v>10982.4</v>
      </c>
      <c r="DM107" s="51">
        <f>4085.2+6781.7</f>
        <v>10866.9</v>
      </c>
      <c r="DN107" s="51">
        <f>4939.7+6906.6</f>
        <v>11846.3</v>
      </c>
      <c r="DO107" s="51">
        <f>4939.6+6762.2</f>
        <v>11701.8</v>
      </c>
      <c r="DP107" s="51">
        <f>5768.2+6636.1</f>
        <v>12404.3</v>
      </c>
      <c r="DQ107" s="51">
        <f>5768.4+6537.3</f>
        <v>12305.7</v>
      </c>
      <c r="DR107" s="51">
        <f>5770.3+6166.3</f>
        <v>11936.6</v>
      </c>
      <c r="DS107" s="51">
        <f>6012.2+5770.5</f>
        <v>11782.7</v>
      </c>
      <c r="DT107" s="51"/>
      <c r="DU107" s="51"/>
      <c r="DV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F107" s="49">
        <f t="shared" si="507"/>
        <v>10297.4</v>
      </c>
      <c r="FG107" s="49">
        <f t="shared" si="508"/>
        <v>11216.5</v>
      </c>
      <c r="FH107" s="49">
        <f t="shared" si="509"/>
        <v>11583.9</v>
      </c>
      <c r="FI107" s="49">
        <f t="shared" si="510"/>
        <v>11279.6</v>
      </c>
      <c r="FJ107" s="49">
        <f t="shared" si="511"/>
        <v>11846.3</v>
      </c>
    </row>
    <row r="108" spans="1:181" s="49" customFormat="1" x14ac:dyDescent="0.25">
      <c r="A108" s="98"/>
      <c r="B108" s="50" t="s">
        <v>385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>
        <v>2511</v>
      </c>
      <c r="CV108" s="51">
        <v>2507.4</v>
      </c>
      <c r="CW108" s="51">
        <v>2412.8000000000002</v>
      </c>
      <c r="CX108" s="51">
        <v>2572.6</v>
      </c>
      <c r="CY108" s="51">
        <v>2471.6</v>
      </c>
      <c r="CZ108" s="51">
        <v>2481.8000000000002</v>
      </c>
      <c r="DA108" s="51">
        <v>2555.3000000000002</v>
      </c>
      <c r="DB108" s="51">
        <v>2830.4</v>
      </c>
      <c r="DC108" s="51">
        <v>2649.9</v>
      </c>
      <c r="DD108" s="51">
        <v>2674.9</v>
      </c>
      <c r="DE108" s="51">
        <v>2625.6</v>
      </c>
      <c r="DF108" s="51">
        <v>2489.3000000000002</v>
      </c>
      <c r="DG108" s="51">
        <v>2464.9</v>
      </c>
      <c r="DH108" s="51">
        <v>2371.9</v>
      </c>
      <c r="DI108" s="51">
        <v>2384.3000000000002</v>
      </c>
      <c r="DJ108" s="51">
        <v>2792.9</v>
      </c>
      <c r="DK108" s="51">
        <v>3406.7</v>
      </c>
      <c r="DL108" s="51">
        <v>3805.9</v>
      </c>
      <c r="DM108" s="51">
        <v>4574.8</v>
      </c>
      <c r="DN108" s="51">
        <v>5477.3</v>
      </c>
      <c r="DO108" s="51">
        <v>5633.9</v>
      </c>
      <c r="DP108" s="51">
        <v>6655.3</v>
      </c>
      <c r="DQ108" s="51">
        <v>7392.3</v>
      </c>
      <c r="DR108" s="51">
        <v>8000.6</v>
      </c>
      <c r="DS108" s="51">
        <v>8573.2000000000007</v>
      </c>
      <c r="DT108" s="51"/>
      <c r="DU108" s="51"/>
      <c r="DV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F108" s="49">
        <f t="shared" si="507"/>
        <v>2572.6</v>
      </c>
      <c r="FG108" s="49">
        <f t="shared" si="508"/>
        <v>2830.4</v>
      </c>
      <c r="FH108" s="49">
        <f t="shared" si="509"/>
        <v>2489.3000000000002</v>
      </c>
      <c r="FI108" s="49">
        <f t="shared" si="510"/>
        <v>2792.9</v>
      </c>
      <c r="FJ108" s="49">
        <f t="shared" si="511"/>
        <v>5477.3</v>
      </c>
    </row>
    <row r="109" spans="1:181" s="49" customFormat="1" x14ac:dyDescent="0.25">
      <c r="A109" s="98"/>
      <c r="B109" s="50" t="s">
        <v>290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>
        <v>1622.4</v>
      </c>
      <c r="BO109" s="51">
        <v>1743.3</v>
      </c>
      <c r="BP109" s="51">
        <v>1976.9</v>
      </c>
      <c r="BQ109" s="51">
        <v>2215.8000000000002</v>
      </c>
      <c r="BR109" s="51">
        <v>2493.4</v>
      </c>
      <c r="BS109" s="51">
        <v>2093.1999999999998</v>
      </c>
      <c r="BT109" s="51">
        <v>2195</v>
      </c>
      <c r="BU109" s="51">
        <v>2387.8000000000002</v>
      </c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>
        <v>1963</v>
      </c>
      <c r="CV109" s="51">
        <v>2052.1</v>
      </c>
      <c r="CW109" s="51">
        <v>2194.1999999999998</v>
      </c>
      <c r="CX109" s="51"/>
      <c r="CY109" s="51"/>
      <c r="CZ109" s="51"/>
      <c r="DA109" s="51"/>
      <c r="DB109" s="51"/>
      <c r="DC109" s="51">
        <v>0</v>
      </c>
      <c r="DD109" s="51">
        <v>0</v>
      </c>
      <c r="DE109" s="51">
        <v>0</v>
      </c>
      <c r="DF109" s="51">
        <v>0</v>
      </c>
      <c r="DG109" s="51">
        <v>0</v>
      </c>
      <c r="DH109" s="51">
        <v>0</v>
      </c>
      <c r="DI109" s="51">
        <v>0</v>
      </c>
      <c r="DJ109" s="51">
        <v>0</v>
      </c>
      <c r="DK109" s="51">
        <v>0</v>
      </c>
      <c r="DL109" s="51">
        <v>0</v>
      </c>
      <c r="DM109" s="51">
        <v>0</v>
      </c>
      <c r="DN109" s="51">
        <v>0</v>
      </c>
      <c r="DO109" s="51">
        <v>0</v>
      </c>
      <c r="DP109" s="51">
        <v>0</v>
      </c>
      <c r="DQ109" s="51">
        <v>0</v>
      </c>
      <c r="DR109" s="51">
        <v>0</v>
      </c>
      <c r="DS109" s="51">
        <v>0</v>
      </c>
      <c r="DT109" s="51"/>
      <c r="DU109" s="51"/>
      <c r="DV109" s="51"/>
      <c r="EN109" s="51"/>
      <c r="EO109" s="51"/>
      <c r="EP109" s="51"/>
      <c r="EQ109" s="51"/>
      <c r="ER109" s="51"/>
      <c r="ES109" s="51"/>
      <c r="ET109" s="51"/>
      <c r="EU109" s="51"/>
      <c r="EV109" s="51"/>
      <c r="EW109" s="51"/>
      <c r="EX109" s="51"/>
      <c r="EY109" s="51"/>
      <c r="EZ109" s="51"/>
      <c r="FA109" s="51"/>
      <c r="FB109" s="51"/>
      <c r="FC109" s="51"/>
      <c r="FD109" s="51"/>
      <c r="FF109" s="49">
        <f t="shared" si="507"/>
        <v>0</v>
      </c>
      <c r="FG109" s="49">
        <f t="shared" si="508"/>
        <v>0</v>
      </c>
      <c r="FI109" s="49">
        <f t="shared" si="510"/>
        <v>0</v>
      </c>
      <c r="FJ109" s="49">
        <f t="shared" si="511"/>
        <v>0</v>
      </c>
    </row>
    <row r="110" spans="1:181" s="49" customFormat="1" x14ac:dyDescent="0.25">
      <c r="A110" s="98"/>
      <c r="B110" s="50" t="s">
        <v>291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>
        <v>7940.7</v>
      </c>
      <c r="BO110" s="51">
        <v>7967.7</v>
      </c>
      <c r="BP110" s="51">
        <v>7953.7</v>
      </c>
      <c r="BQ110" s="51">
        <v>7812.2</v>
      </c>
      <c r="BR110" s="51">
        <v>7760.3</v>
      </c>
      <c r="BS110" s="51">
        <v>7754.6</v>
      </c>
      <c r="BT110" s="51">
        <v>7619.9</v>
      </c>
      <c r="BU110" s="51">
        <v>7638.9</v>
      </c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>
        <v>7780</v>
      </c>
      <c r="CV110" s="51">
        <v>7847.5</v>
      </c>
      <c r="CW110" s="51">
        <v>7801.5</v>
      </c>
      <c r="CX110" s="51">
        <v>7872.9</v>
      </c>
      <c r="CY110" s="51">
        <v>7897.9</v>
      </c>
      <c r="CZ110" s="51">
        <v>7981.1</v>
      </c>
      <c r="DA110" s="51">
        <v>8281.1</v>
      </c>
      <c r="DB110" s="51">
        <v>8681.9</v>
      </c>
      <c r="DC110" s="51">
        <v>8630.1</v>
      </c>
      <c r="DD110" s="51">
        <v>8855.5</v>
      </c>
      <c r="DE110" s="51">
        <v>8920.4</v>
      </c>
      <c r="DF110" s="51">
        <v>8985.1</v>
      </c>
      <c r="DG110" s="51">
        <v>9102.7000000000007</v>
      </c>
      <c r="DH110" s="51">
        <v>9128.2000000000007</v>
      </c>
      <c r="DI110" s="51">
        <v>9311.2999999999993</v>
      </c>
      <c r="DJ110" s="51">
        <v>10144</v>
      </c>
      <c r="DK110" s="51">
        <v>10546.2</v>
      </c>
      <c r="DL110" s="51">
        <v>11277.4</v>
      </c>
      <c r="DM110" s="51">
        <v>11863.2</v>
      </c>
      <c r="DN110" s="51">
        <v>12913.6</v>
      </c>
      <c r="DO110" s="51">
        <v>13624</v>
      </c>
      <c r="DP110" s="51">
        <v>14829.4</v>
      </c>
      <c r="DQ110" s="51">
        <v>16171.8</v>
      </c>
      <c r="DR110" s="51">
        <v>17102.400000000001</v>
      </c>
      <c r="DS110" s="51">
        <v>18474.099999999999</v>
      </c>
      <c r="DT110" s="51"/>
      <c r="DU110" s="51"/>
      <c r="DV110" s="51"/>
      <c r="EN110" s="51"/>
      <c r="EO110" s="51"/>
      <c r="EP110" s="51"/>
      <c r="EQ110" s="51"/>
      <c r="ER110" s="51"/>
      <c r="ES110" s="51"/>
      <c r="ET110" s="51"/>
      <c r="EU110" s="51"/>
      <c r="EV110" s="51"/>
      <c r="EW110" s="51"/>
      <c r="EX110" s="51"/>
      <c r="EY110" s="51"/>
      <c r="EZ110" s="51"/>
      <c r="FA110" s="51"/>
      <c r="FB110" s="51"/>
      <c r="FC110" s="51"/>
      <c r="FD110" s="51"/>
      <c r="FF110" s="49">
        <f t="shared" si="507"/>
        <v>7872.9</v>
      </c>
      <c r="FG110" s="49">
        <f t="shared" si="508"/>
        <v>8681.9</v>
      </c>
      <c r="FH110" s="49">
        <f t="shared" si="509"/>
        <v>8985.1</v>
      </c>
      <c r="FI110" s="49">
        <f t="shared" si="510"/>
        <v>10144</v>
      </c>
      <c r="FJ110" s="49">
        <f t="shared" si="511"/>
        <v>12913.6</v>
      </c>
    </row>
    <row r="111" spans="1:181" s="49" customFormat="1" x14ac:dyDescent="0.25">
      <c r="A111" s="98"/>
      <c r="B111" s="50" t="s">
        <v>386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>
        <v>546.5</v>
      </c>
      <c r="CV111" s="51">
        <v>545.5</v>
      </c>
      <c r="CW111" s="51">
        <v>535.70000000000005</v>
      </c>
      <c r="CX111" s="51">
        <f>532.1+2339.1</f>
        <v>2871.2</v>
      </c>
      <c r="CY111" s="51">
        <v>3044.6</v>
      </c>
      <c r="CZ111" s="51">
        <v>3080.1</v>
      </c>
      <c r="DA111" s="51">
        <v>3078.5</v>
      </c>
      <c r="DB111" s="51">
        <v>3475.4</v>
      </c>
      <c r="DC111" s="51">
        <v>3756.2</v>
      </c>
      <c r="DD111" s="51">
        <v>3638.6</v>
      </c>
      <c r="DE111" s="51">
        <v>3710.4</v>
      </c>
      <c r="DF111" s="51">
        <v>4082.7</v>
      </c>
      <c r="DG111" s="51">
        <v>4285.3</v>
      </c>
      <c r="DH111" s="51">
        <v>4471.6000000000004</v>
      </c>
      <c r="DI111" s="51">
        <v>4535.7</v>
      </c>
      <c r="DJ111" s="51">
        <v>4337</v>
      </c>
      <c r="DK111" s="51">
        <v>4488.1000000000004</v>
      </c>
      <c r="DL111" s="51">
        <v>4671.6000000000004</v>
      </c>
      <c r="DM111" s="51">
        <v>4911.8999999999996</v>
      </c>
      <c r="DN111" s="51">
        <v>4989.8999999999996</v>
      </c>
      <c r="DO111" s="51">
        <v>4708.1000000000004</v>
      </c>
      <c r="DP111" s="51">
        <v>4903.8999999999996</v>
      </c>
      <c r="DQ111" s="51">
        <v>5121.8</v>
      </c>
      <c r="DR111" s="51">
        <v>5719.7</v>
      </c>
      <c r="DS111" s="51">
        <v>6074.9</v>
      </c>
      <c r="DT111" s="51"/>
      <c r="DU111" s="51"/>
      <c r="DV111" s="51"/>
      <c r="EN111" s="51"/>
      <c r="EO111" s="51"/>
      <c r="EP111" s="51"/>
      <c r="EQ111" s="51"/>
      <c r="ER111" s="51"/>
      <c r="ES111" s="51"/>
      <c r="ET111" s="51"/>
      <c r="EU111" s="51"/>
      <c r="EV111" s="51"/>
      <c r="EW111" s="51"/>
      <c r="EX111" s="51"/>
      <c r="EY111" s="51"/>
      <c r="EZ111" s="51"/>
      <c r="FA111" s="51"/>
      <c r="FB111" s="51"/>
      <c r="FC111" s="51"/>
      <c r="FD111" s="51"/>
      <c r="FF111" s="49">
        <f t="shared" si="507"/>
        <v>2871.2</v>
      </c>
      <c r="FG111" s="49">
        <f t="shared" si="508"/>
        <v>3475.4</v>
      </c>
      <c r="FH111" s="49">
        <f t="shared" si="509"/>
        <v>4082.7</v>
      </c>
      <c r="FI111" s="49">
        <f t="shared" si="510"/>
        <v>4337</v>
      </c>
      <c r="FJ111" s="49">
        <f t="shared" si="511"/>
        <v>4989.8999999999996</v>
      </c>
    </row>
    <row r="112" spans="1:181" s="49" customFormat="1" x14ac:dyDescent="0.25">
      <c r="A112" s="98"/>
      <c r="B112" s="50" t="s">
        <v>292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>
        <f>SUM(BN101:BN110)</f>
        <v>31001.4</v>
      </c>
      <c r="BO112" s="51">
        <f>SUM(BO101:BO110)</f>
        <v>31695.3</v>
      </c>
      <c r="BP112" s="51">
        <f t="shared" ref="BP112" si="512">SUM(BP101:BP110)</f>
        <v>32779.299999999996</v>
      </c>
      <c r="BQ112" s="51">
        <f>SUM(BQ101:BQ110)</f>
        <v>33042.199999999997</v>
      </c>
      <c r="BR112" s="51">
        <f>SUM(BR101:BR110)</f>
        <v>33659.80000000001</v>
      </c>
      <c r="BS112" s="51">
        <f>SUM(BS101:BS110)</f>
        <v>32238.200000000004</v>
      </c>
      <c r="BT112" s="51">
        <f>SUM(BT101:BT110)</f>
        <v>31812.6</v>
      </c>
      <c r="BU112" s="51">
        <f>SUM(BU101:BU110)</f>
        <v>34321</v>
      </c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>
        <f t="shared" ref="CU112:CX112" si="513">SUM(CU101:CU111)</f>
        <v>38006.800000000003</v>
      </c>
      <c r="CV112" s="51">
        <f t="shared" si="513"/>
        <v>38666.400000000001</v>
      </c>
      <c r="CW112" s="51">
        <f t="shared" si="513"/>
        <v>37893.1</v>
      </c>
      <c r="CX112" s="51">
        <f t="shared" si="513"/>
        <v>39286.1</v>
      </c>
      <c r="CY112" s="51">
        <f t="shared" ref="CY112:DB112" si="514">SUM(CY101:CY111)</f>
        <v>41102.799999999996</v>
      </c>
      <c r="CZ112" s="51">
        <f t="shared" si="514"/>
        <v>41967</v>
      </c>
      <c r="DA112" s="51">
        <f t="shared" si="514"/>
        <v>43946</v>
      </c>
      <c r="DB112" s="51">
        <f t="shared" si="514"/>
        <v>46633.100000000006</v>
      </c>
      <c r="DC112" s="51">
        <f t="shared" ref="DC112" si="515">SUM(DC101:DC111)</f>
        <v>46838.299999999996</v>
      </c>
      <c r="DD112" s="51">
        <f t="shared" ref="DD112" si="516">SUM(DD101:DD111)</f>
        <v>47808.999999999993</v>
      </c>
      <c r="DE112" s="51">
        <f t="shared" ref="DE112:DS112" si="517">SUM(DE101:DE111)</f>
        <v>48187</v>
      </c>
      <c r="DF112" s="51">
        <f t="shared" si="517"/>
        <v>48806</v>
      </c>
      <c r="DG112" s="51">
        <f t="shared" si="517"/>
        <v>46919.3</v>
      </c>
      <c r="DH112" s="51">
        <f t="shared" si="517"/>
        <v>47063.6</v>
      </c>
      <c r="DI112" s="51">
        <f t="shared" si="517"/>
        <v>47461.5</v>
      </c>
      <c r="DJ112" s="51">
        <f t="shared" si="517"/>
        <v>49489.8</v>
      </c>
      <c r="DK112" s="51">
        <f t="shared" si="517"/>
        <v>53162.999999999993</v>
      </c>
      <c r="DL112" s="51">
        <f t="shared" si="517"/>
        <v>54814</v>
      </c>
      <c r="DM112" s="51">
        <f t="shared" si="517"/>
        <v>57915.500000000007</v>
      </c>
      <c r="DN112" s="51">
        <f t="shared" si="517"/>
        <v>64006.3</v>
      </c>
      <c r="DO112" s="51">
        <f t="shared" si="517"/>
        <v>63943.5</v>
      </c>
      <c r="DP112" s="51">
        <f t="shared" si="517"/>
        <v>71874.799999999988</v>
      </c>
      <c r="DQ112" s="51">
        <f t="shared" si="517"/>
        <v>75606.900000000009</v>
      </c>
      <c r="DR112" s="51">
        <f t="shared" si="517"/>
        <v>78714.900000000009</v>
      </c>
      <c r="DS112" s="51">
        <f t="shared" si="517"/>
        <v>89388.799999999988</v>
      </c>
      <c r="DT112" s="51"/>
      <c r="DU112" s="51"/>
      <c r="DV112" s="51"/>
      <c r="EN112" s="51"/>
      <c r="EO112" s="51"/>
      <c r="EP112" s="51"/>
      <c r="EQ112" s="51"/>
      <c r="ER112" s="51"/>
      <c r="ES112" s="51"/>
      <c r="ET112" s="51"/>
      <c r="EU112" s="51"/>
      <c r="EV112" s="51"/>
      <c r="EW112" s="51"/>
      <c r="EX112" s="51"/>
      <c r="EY112" s="51"/>
      <c r="EZ112" s="51"/>
      <c r="FA112" s="51"/>
      <c r="FB112" s="51"/>
      <c r="FC112" s="51"/>
      <c r="FD112" s="51"/>
      <c r="FF112" s="49">
        <f t="shared" si="507"/>
        <v>39286.1</v>
      </c>
      <c r="FG112" s="49">
        <f t="shared" si="508"/>
        <v>46633.100000000006</v>
      </c>
      <c r="FH112" s="49">
        <f t="shared" si="509"/>
        <v>48806</v>
      </c>
      <c r="FI112" s="49">
        <f t="shared" si="510"/>
        <v>49489.8</v>
      </c>
      <c r="FJ112" s="49">
        <f t="shared" si="511"/>
        <v>64006.3</v>
      </c>
    </row>
    <row r="113" spans="1:166" x14ac:dyDescent="0.25">
      <c r="A113" s="102"/>
      <c r="FG113" s="49"/>
      <c r="FH113" s="49"/>
      <c r="FI113" s="49"/>
    </row>
    <row r="114" spans="1:166" s="49" customFormat="1" x14ac:dyDescent="0.25">
      <c r="A114" s="98"/>
      <c r="B114" s="50" t="s">
        <v>175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>
        <f>156+6770.5</f>
        <v>6926.5</v>
      </c>
      <c r="BO114" s="51">
        <f>1539.9+5132.4</f>
        <v>6672.2999999999993</v>
      </c>
      <c r="BP114" s="51">
        <f>1528.5+5200.1</f>
        <v>6728.6</v>
      </c>
      <c r="BQ114" s="51">
        <f>1628.7+5451.3</f>
        <v>7080</v>
      </c>
      <c r="BR114" s="51">
        <f>1522.3+5464.7</f>
        <v>6987</v>
      </c>
      <c r="BS114" s="51">
        <f>10.6+5403.2</f>
        <v>5413.8</v>
      </c>
      <c r="BT114" s="51">
        <f>9.1+5500.2</f>
        <v>5509.3</v>
      </c>
      <c r="BU114" s="51">
        <f>9.1+5510.9</f>
        <v>5520</v>
      </c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>
        <f>2354.9+13610.2</f>
        <v>15965.1</v>
      </c>
      <c r="CV114" s="51">
        <f>2068.6+13717.6</f>
        <v>15786.2</v>
      </c>
      <c r="CW114" s="51">
        <f>1563.1+13662.2</f>
        <v>15225.300000000001</v>
      </c>
      <c r="CX114" s="51">
        <f>1499.3+13817.9</f>
        <v>15317.199999999999</v>
      </c>
      <c r="CY114" s="51">
        <f>3248+13982.3</f>
        <v>17230.3</v>
      </c>
      <c r="CZ114" s="51">
        <f>1263.8+15064.4</f>
        <v>16328.199999999999</v>
      </c>
      <c r="DA114" s="51">
        <f>587.5+16334.6</f>
        <v>16922.099999999999</v>
      </c>
      <c r="DB114" s="51">
        <f>16586.6+8.7</f>
        <v>16595.3</v>
      </c>
      <c r="DC114" s="51">
        <f>4.9+16199.6</f>
        <v>16204.5</v>
      </c>
      <c r="DD114" s="51">
        <f>1778.5+14736.6</f>
        <v>16515.099999999999</v>
      </c>
      <c r="DE114" s="51">
        <f>1563+15522.4</f>
        <v>17085.400000000001</v>
      </c>
      <c r="DF114" s="51">
        <f>1538.3+15346.4</f>
        <v>16884.7</v>
      </c>
      <c r="DG114" s="51">
        <f>1355.9+15152.9</f>
        <v>16508.8</v>
      </c>
      <c r="DH114" s="51">
        <f>2121.8+14692</f>
        <v>16813.8</v>
      </c>
      <c r="DI114" s="51">
        <f>1744.6+14143.8</f>
        <v>15888.4</v>
      </c>
      <c r="DJ114" s="51">
        <f>1501.1+14737.5</f>
        <v>16238.6</v>
      </c>
      <c r="DK114" s="51">
        <f>18880.5+3.1</f>
        <v>18883.599999999999</v>
      </c>
      <c r="DL114" s="51">
        <f>661.6+18158.4</f>
        <v>18820</v>
      </c>
      <c r="DM114" s="51">
        <f>2244.7+17923.6</f>
        <v>20168.3</v>
      </c>
      <c r="DN114" s="51">
        <f>6904.5+18320.8</f>
        <v>25225.3</v>
      </c>
      <c r="DO114" s="51">
        <f>24559.9+1651.5</f>
        <v>26211.4</v>
      </c>
      <c r="DP114" s="51">
        <f>5161.6+23730.4</f>
        <v>28892</v>
      </c>
      <c r="DQ114" s="51">
        <f>29045.4+2074.3</f>
        <v>31119.7</v>
      </c>
      <c r="DR114" s="51">
        <f>28527.1+5117.1</f>
        <v>33644.199999999997</v>
      </c>
      <c r="DS114" s="51">
        <f>4016.4+34499.5</f>
        <v>38515.9</v>
      </c>
      <c r="DT114" s="51"/>
      <c r="DU114" s="51"/>
      <c r="DV114" s="51"/>
      <c r="EN114" s="51"/>
      <c r="EO114" s="51"/>
      <c r="EP114" s="51"/>
      <c r="EQ114" s="51"/>
      <c r="ER114" s="51"/>
      <c r="ES114" s="51"/>
      <c r="ET114" s="51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F114" s="49">
        <f t="shared" si="507"/>
        <v>15317.199999999999</v>
      </c>
      <c r="FG114" s="49">
        <f t="shared" ref="FG114:FG125" si="518">+DB114</f>
        <v>16595.3</v>
      </c>
      <c r="FH114" s="49">
        <f t="shared" si="509"/>
        <v>16884.7</v>
      </c>
      <c r="FI114" s="49">
        <f t="shared" si="510"/>
        <v>16238.6</v>
      </c>
      <c r="FJ114" s="49">
        <f t="shared" si="511"/>
        <v>25225.3</v>
      </c>
    </row>
    <row r="115" spans="1:166" s="49" customFormat="1" x14ac:dyDescent="0.25">
      <c r="A115" s="98"/>
      <c r="B115" s="50" t="s">
        <v>293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>
        <v>1072.2</v>
      </c>
      <c r="BO115" s="51">
        <v>1183.2</v>
      </c>
      <c r="BP115" s="51">
        <v>1187.5999999999999</v>
      </c>
      <c r="BQ115" s="51">
        <v>1154.3</v>
      </c>
      <c r="BR115" s="51">
        <v>1125.2</v>
      </c>
      <c r="BS115" s="51">
        <v>1246.3</v>
      </c>
      <c r="BT115" s="51">
        <v>1201.5999999999999</v>
      </c>
      <c r="BU115" s="51">
        <v>1328.7</v>
      </c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>
        <v>1168.0999999999999</v>
      </c>
      <c r="CV115" s="51">
        <v>1198.9000000000001</v>
      </c>
      <c r="CW115" s="51">
        <v>1114.9000000000001</v>
      </c>
      <c r="CX115" s="51">
        <v>1405.3</v>
      </c>
      <c r="CY115" s="51">
        <v>1207.7</v>
      </c>
      <c r="CZ115" s="51">
        <v>1247.2</v>
      </c>
      <c r="DA115" s="51">
        <v>1430.1</v>
      </c>
      <c r="DB115" s="51">
        <v>1606.7</v>
      </c>
      <c r="DC115" s="51">
        <v>1639.6</v>
      </c>
      <c r="DD115" s="51">
        <v>1597.8</v>
      </c>
      <c r="DE115" s="51">
        <v>1566.8</v>
      </c>
      <c r="DF115" s="51">
        <v>1670.6</v>
      </c>
      <c r="DG115" s="51">
        <v>1433.3</v>
      </c>
      <c r="DH115" s="51">
        <v>1659.3</v>
      </c>
      <c r="DI115" s="51">
        <v>1683.2</v>
      </c>
      <c r="DJ115" s="51">
        <v>1930.6</v>
      </c>
      <c r="DK115" s="51">
        <v>2015.9</v>
      </c>
      <c r="DL115" s="51">
        <f>2474.2</f>
        <v>2474.1999999999998</v>
      </c>
      <c r="DM115" s="51">
        <v>2435.1</v>
      </c>
      <c r="DN115" s="51">
        <v>2598.8000000000002</v>
      </c>
      <c r="DO115" s="51">
        <v>2473.6999999999998</v>
      </c>
      <c r="DP115" s="51">
        <v>2924.8</v>
      </c>
      <c r="DQ115" s="51">
        <v>2886.5</v>
      </c>
      <c r="DR115" s="51">
        <v>3228.6</v>
      </c>
      <c r="DS115" s="51">
        <v>3442</v>
      </c>
      <c r="DT115" s="51"/>
      <c r="DU115" s="51"/>
      <c r="DV115" s="51"/>
      <c r="EN115" s="51"/>
      <c r="EO115" s="51"/>
      <c r="EP115" s="51"/>
      <c r="EQ115" s="51"/>
      <c r="ER115" s="51"/>
      <c r="ES115" s="51"/>
      <c r="ET115" s="51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F115" s="49">
        <f t="shared" si="507"/>
        <v>1405.3</v>
      </c>
      <c r="FG115" s="49">
        <f t="shared" si="518"/>
        <v>1606.7</v>
      </c>
      <c r="FH115" s="49">
        <f t="shared" si="509"/>
        <v>1670.6</v>
      </c>
      <c r="FI115" s="49">
        <f t="shared" si="510"/>
        <v>1930.6</v>
      </c>
      <c r="FJ115" s="49">
        <f t="shared" si="511"/>
        <v>2598.8000000000002</v>
      </c>
    </row>
    <row r="116" spans="1:166" s="49" customFormat="1" x14ac:dyDescent="0.25">
      <c r="A116" s="98"/>
      <c r="B116" s="50" t="s">
        <v>294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>
        <v>851.8</v>
      </c>
      <c r="BO116" s="51">
        <v>524</v>
      </c>
      <c r="BP116" s="51">
        <v>584.70000000000005</v>
      </c>
      <c r="BQ116" s="51">
        <v>689.3</v>
      </c>
      <c r="BR116" s="51">
        <v>804.7</v>
      </c>
      <c r="BS116" s="51">
        <v>533.79999999999995</v>
      </c>
      <c r="BT116" s="51">
        <v>602.9</v>
      </c>
      <c r="BU116" s="51">
        <v>772.7</v>
      </c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>
        <v>511.7</v>
      </c>
      <c r="CV116" s="51">
        <v>588.20000000000005</v>
      </c>
      <c r="CW116" s="51">
        <v>704.5</v>
      </c>
      <c r="CX116" s="51">
        <v>915.5</v>
      </c>
      <c r="CY116" s="51">
        <v>565.79999999999995</v>
      </c>
      <c r="CZ116" s="51">
        <v>673.6</v>
      </c>
      <c r="DA116" s="51">
        <v>795.6</v>
      </c>
      <c r="DB116" s="51">
        <v>997.2</v>
      </c>
      <c r="DC116" s="51">
        <v>649.9</v>
      </c>
      <c r="DD116" s="51">
        <v>755.5</v>
      </c>
      <c r="DE116" s="51">
        <v>836.6</v>
      </c>
      <c r="DF116" s="51">
        <v>958.1</v>
      </c>
      <c r="DG116" s="51">
        <v>693.1</v>
      </c>
      <c r="DH116" s="51">
        <v>835.8</v>
      </c>
      <c r="DI116" s="51">
        <v>984.1</v>
      </c>
      <c r="DJ116" s="51">
        <v>1059.8</v>
      </c>
      <c r="DK116" s="51">
        <v>739.7</v>
      </c>
      <c r="DL116" s="51">
        <v>867.7</v>
      </c>
      <c r="DM116" s="51">
        <v>1233.2</v>
      </c>
      <c r="DN116" s="51">
        <v>1650.4</v>
      </c>
      <c r="DO116" s="51">
        <v>844.2</v>
      </c>
      <c r="DP116" s="51">
        <v>1168.3</v>
      </c>
      <c r="DQ116" s="51">
        <v>1703.3</v>
      </c>
      <c r="DR116" s="51">
        <v>2093.9</v>
      </c>
      <c r="DS116" s="51">
        <v>1113.9000000000001</v>
      </c>
      <c r="DT116" s="51"/>
      <c r="DU116" s="51"/>
      <c r="DV116" s="51"/>
      <c r="EN116" s="51"/>
      <c r="EO116" s="51"/>
      <c r="EP116" s="51"/>
      <c r="EQ116" s="51"/>
      <c r="ER116" s="51"/>
      <c r="ES116" s="51"/>
      <c r="ET116" s="51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F116" s="49">
        <f t="shared" si="507"/>
        <v>915.5</v>
      </c>
      <c r="FG116" s="49">
        <f t="shared" si="518"/>
        <v>997.2</v>
      </c>
      <c r="FH116" s="49">
        <f t="shared" si="509"/>
        <v>958.1</v>
      </c>
      <c r="FI116" s="49">
        <f t="shared" si="510"/>
        <v>1059.8</v>
      </c>
      <c r="FJ116" s="49">
        <f t="shared" si="511"/>
        <v>1650.4</v>
      </c>
    </row>
    <row r="117" spans="1:166" s="49" customFormat="1" x14ac:dyDescent="0.25">
      <c r="A117" s="98"/>
      <c r="B117" s="50" t="s">
        <v>295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>
        <v>1372.6</v>
      </c>
      <c r="BO117" s="51">
        <v>1489.5</v>
      </c>
      <c r="BP117" s="51">
        <v>1807.6</v>
      </c>
      <c r="BQ117" s="51">
        <v>1882.3</v>
      </c>
      <c r="BR117" s="51">
        <v>1771.3</v>
      </c>
      <c r="BS117" s="51">
        <v>1619.8</v>
      </c>
      <c r="BT117" s="51">
        <v>1628.6</v>
      </c>
      <c r="BU117" s="51">
        <v>1695.6</v>
      </c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>
        <v>4455.7</v>
      </c>
      <c r="CV117" s="51">
        <v>4993.7</v>
      </c>
      <c r="CW117" s="51">
        <v>5277</v>
      </c>
      <c r="CX117" s="51">
        <v>4933.6000000000004</v>
      </c>
      <c r="CY117" s="51">
        <v>4703.8999999999996</v>
      </c>
      <c r="CZ117" s="51">
        <v>5282.2</v>
      </c>
      <c r="DA117" s="51">
        <v>5745.2</v>
      </c>
      <c r="DB117" s="51">
        <v>5853</v>
      </c>
      <c r="DC117" s="51">
        <v>5821.4</v>
      </c>
      <c r="DD117" s="51">
        <v>7035.8</v>
      </c>
      <c r="DE117" s="51">
        <v>7185.6</v>
      </c>
      <c r="DF117" s="51">
        <v>6845.8</v>
      </c>
      <c r="DG117" s="51">
        <v>6768.7</v>
      </c>
      <c r="DH117" s="51">
        <v>7991.4</v>
      </c>
      <c r="DI117" s="51">
        <v>8568.4</v>
      </c>
      <c r="DJ117" s="51">
        <v>8784.1</v>
      </c>
      <c r="DK117" s="51">
        <v>9529.5</v>
      </c>
      <c r="DL117" s="51">
        <v>10389.9</v>
      </c>
      <c r="DM117" s="51">
        <v>11522.3</v>
      </c>
      <c r="DN117" s="51">
        <v>11689</v>
      </c>
      <c r="DO117" s="51">
        <v>9429.6</v>
      </c>
      <c r="DP117" s="51">
        <v>12446.8</v>
      </c>
      <c r="DQ117" s="51">
        <v>12429.7</v>
      </c>
      <c r="DR117" s="51">
        <v>11539.3</v>
      </c>
      <c r="DS117" s="51">
        <v>11550.3</v>
      </c>
      <c r="DT117" s="51"/>
      <c r="DU117" s="51"/>
      <c r="DV117" s="51"/>
      <c r="EN117" s="51"/>
      <c r="EO117" s="51"/>
      <c r="EP117" s="51"/>
      <c r="EQ117" s="51"/>
      <c r="ER117" s="51"/>
      <c r="ES117" s="51"/>
      <c r="ET117" s="51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F117" s="49">
        <f t="shared" si="507"/>
        <v>4933.6000000000004</v>
      </c>
      <c r="FG117" s="49">
        <f t="shared" si="518"/>
        <v>5853</v>
      </c>
      <c r="FH117" s="49">
        <f t="shared" si="509"/>
        <v>6845.8</v>
      </c>
      <c r="FI117" s="49">
        <f t="shared" si="510"/>
        <v>8784.1</v>
      </c>
      <c r="FJ117" s="49">
        <f t="shared" si="511"/>
        <v>11689</v>
      </c>
    </row>
    <row r="118" spans="1:166" s="49" customFormat="1" x14ac:dyDescent="0.25">
      <c r="A118" s="98"/>
      <c r="B118" s="50" t="s">
        <v>296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>
        <v>540</v>
      </c>
      <c r="BO118" s="51">
        <v>0</v>
      </c>
      <c r="BP118" s="51">
        <v>542.29999999999995</v>
      </c>
      <c r="BQ118" s="51">
        <v>0</v>
      </c>
      <c r="BR118" s="51">
        <v>542.29999999999995</v>
      </c>
      <c r="BS118" s="51">
        <v>0</v>
      </c>
      <c r="BT118" s="51">
        <v>543.6</v>
      </c>
      <c r="BU118" s="51">
        <v>0</v>
      </c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>
        <v>0</v>
      </c>
      <c r="CV118" s="51">
        <v>593.9</v>
      </c>
      <c r="CW118" s="51">
        <v>0</v>
      </c>
      <c r="CX118" s="51">
        <v>671.5</v>
      </c>
      <c r="CY118" s="51">
        <v>0</v>
      </c>
      <c r="CZ118" s="51">
        <v>0</v>
      </c>
      <c r="DA118" s="51">
        <v>0</v>
      </c>
      <c r="DB118" s="51">
        <v>770.6</v>
      </c>
      <c r="DC118" s="51">
        <v>0</v>
      </c>
      <c r="DD118" s="51">
        <v>770.8</v>
      </c>
      <c r="DE118" s="51">
        <v>0</v>
      </c>
      <c r="DF118" s="51">
        <v>885.5</v>
      </c>
      <c r="DG118" s="51">
        <v>0</v>
      </c>
      <c r="DH118" s="51">
        <v>882.2</v>
      </c>
      <c r="DI118" s="51">
        <v>0</v>
      </c>
      <c r="DJ118" s="51">
        <v>1017.2</v>
      </c>
      <c r="DK118" s="51">
        <v>0</v>
      </c>
      <c r="DL118" s="51">
        <v>1016.2</v>
      </c>
      <c r="DM118" s="51">
        <v>0</v>
      </c>
      <c r="DN118" s="51">
        <v>1169.2</v>
      </c>
      <c r="DO118" s="51">
        <v>0</v>
      </c>
      <c r="DP118" s="51">
        <v>1170.5</v>
      </c>
      <c r="DQ118" s="51">
        <v>0</v>
      </c>
      <c r="DR118" s="51">
        <v>1346.3</v>
      </c>
      <c r="DS118" s="51">
        <v>0</v>
      </c>
      <c r="DT118" s="51"/>
      <c r="DU118" s="51"/>
      <c r="DV118" s="51"/>
      <c r="EN118" s="51"/>
      <c r="EO118" s="51"/>
      <c r="EP118" s="51"/>
      <c r="EQ118" s="51"/>
      <c r="ER118" s="51"/>
      <c r="ES118" s="51"/>
      <c r="ET118" s="51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F118" s="49">
        <f t="shared" si="507"/>
        <v>671.5</v>
      </c>
      <c r="FG118" s="49">
        <f t="shared" si="518"/>
        <v>770.6</v>
      </c>
      <c r="FH118" s="49">
        <f t="shared" si="509"/>
        <v>885.5</v>
      </c>
      <c r="FI118" s="49">
        <f t="shared" si="510"/>
        <v>1017.2</v>
      </c>
      <c r="FJ118" s="49">
        <f t="shared" si="511"/>
        <v>1169.2</v>
      </c>
    </row>
    <row r="119" spans="1:166" s="49" customFormat="1" x14ac:dyDescent="0.25">
      <c r="A119" s="98"/>
      <c r="B119" s="50" t="s">
        <v>82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>
        <v>457.5</v>
      </c>
      <c r="BO119" s="51">
        <v>315.2</v>
      </c>
      <c r="BP119" s="51">
        <v>183.1</v>
      </c>
      <c r="BQ119" s="51">
        <v>144.4</v>
      </c>
      <c r="BR119" s="51">
        <v>261.60000000000002</v>
      </c>
      <c r="BS119" s="51">
        <v>388.8</v>
      </c>
      <c r="BT119" s="51">
        <v>33.5</v>
      </c>
      <c r="BU119" s="51">
        <v>338.2</v>
      </c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>
        <v>491.4</v>
      </c>
      <c r="CV119" s="51">
        <v>222.9</v>
      </c>
      <c r="CW119" s="51">
        <v>180.7</v>
      </c>
      <c r="CX119" s="51">
        <v>160.6</v>
      </c>
      <c r="CY119" s="51">
        <v>667.4</v>
      </c>
      <c r="CZ119" s="51">
        <v>1460.8</v>
      </c>
      <c r="DA119" s="51">
        <v>1173.5</v>
      </c>
      <c r="DB119" s="51">
        <v>495.1</v>
      </c>
      <c r="DC119" s="51">
        <v>791.6</v>
      </c>
      <c r="DD119" s="51">
        <v>529.9</v>
      </c>
      <c r="DE119" s="51">
        <v>203.5</v>
      </c>
      <c r="DF119" s="51">
        <v>126.9</v>
      </c>
      <c r="DG119" s="51">
        <v>598.29999999999995</v>
      </c>
      <c r="DH119" s="51">
        <v>126.6</v>
      </c>
      <c r="DI119" s="51">
        <v>685.6</v>
      </c>
      <c r="DJ119" s="51">
        <v>475.1</v>
      </c>
      <c r="DK119" s="51">
        <v>1528.3</v>
      </c>
      <c r="DL119" s="51">
        <v>1233.8</v>
      </c>
      <c r="DM119" s="51">
        <v>1977.5</v>
      </c>
      <c r="DN119" s="51">
        <v>0</v>
      </c>
      <c r="DO119" s="51">
        <v>0</v>
      </c>
      <c r="DP119" s="51">
        <v>0</v>
      </c>
      <c r="DQ119" s="51">
        <v>0</v>
      </c>
      <c r="DR119" s="51">
        <v>0</v>
      </c>
      <c r="DS119" s="51">
        <v>6175.7</v>
      </c>
      <c r="DT119" s="51"/>
      <c r="DU119" s="51"/>
      <c r="DV119" s="51"/>
      <c r="EN119" s="51"/>
      <c r="EO119" s="51"/>
      <c r="EP119" s="51"/>
      <c r="EQ119" s="51"/>
      <c r="ER119" s="51"/>
      <c r="ES119" s="51"/>
      <c r="ET119" s="51"/>
      <c r="EU119" s="51"/>
      <c r="EV119" s="51"/>
      <c r="EW119" s="51"/>
      <c r="EX119" s="51"/>
      <c r="EY119" s="51"/>
      <c r="EZ119" s="51"/>
      <c r="FA119" s="51"/>
      <c r="FB119" s="51"/>
      <c r="FC119" s="51"/>
      <c r="FD119" s="51"/>
      <c r="FF119" s="49">
        <f t="shared" si="507"/>
        <v>160.6</v>
      </c>
      <c r="FG119" s="49">
        <f t="shared" si="518"/>
        <v>495.1</v>
      </c>
      <c r="FH119" s="49">
        <f t="shared" si="509"/>
        <v>126.9</v>
      </c>
      <c r="FI119" s="49">
        <f t="shared" si="510"/>
        <v>475.1</v>
      </c>
      <c r="FJ119" s="49">
        <f t="shared" si="511"/>
        <v>0</v>
      </c>
    </row>
    <row r="120" spans="1:166" s="49" customFormat="1" x14ac:dyDescent="0.25">
      <c r="A120" s="98"/>
      <c r="B120" s="50" t="s">
        <v>297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>
        <v>2651.3</v>
      </c>
      <c r="BO120" s="51">
        <v>2600</v>
      </c>
      <c r="BP120" s="51">
        <v>2786.7</v>
      </c>
      <c r="BQ120" s="51">
        <v>2720.3</v>
      </c>
      <c r="BR120" s="51">
        <v>2903.5</v>
      </c>
      <c r="BS120" s="51">
        <v>2754.4</v>
      </c>
      <c r="BT120" s="51">
        <v>2590.4</v>
      </c>
      <c r="BU120" s="51">
        <v>2816.4</v>
      </c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>
        <v>2254.3000000000002</v>
      </c>
      <c r="CV120" s="51">
        <v>2189.1999999999998</v>
      </c>
      <c r="CW120" s="51">
        <v>1988.4</v>
      </c>
      <c r="CX120" s="51">
        <v>2189.4</v>
      </c>
      <c r="CY120" s="51">
        <v>2217.4</v>
      </c>
      <c r="CZ120" s="51">
        <v>2060.9</v>
      </c>
      <c r="DA120" s="51">
        <v>2245</v>
      </c>
      <c r="DB120" s="51">
        <v>2750.3</v>
      </c>
      <c r="DC120" s="51">
        <v>2806.8</v>
      </c>
      <c r="DD120" s="51">
        <v>2624.9</v>
      </c>
      <c r="DE120" s="51">
        <v>2326.5</v>
      </c>
      <c r="DF120" s="51">
        <v>3027.5</v>
      </c>
      <c r="DG120" s="51">
        <v>2536.6999999999998</v>
      </c>
      <c r="DH120" s="51">
        <v>2003.5</v>
      </c>
      <c r="DI120" s="51">
        <v>1986.9</v>
      </c>
      <c r="DJ120" s="51">
        <v>2370.3000000000002</v>
      </c>
      <c r="DK120" s="51">
        <v>2193.5</v>
      </c>
      <c r="DL120" s="51">
        <v>2271.6</v>
      </c>
      <c r="DM120" s="51">
        <v>2585.4</v>
      </c>
      <c r="DN120" s="51">
        <v>3281.3</v>
      </c>
      <c r="DO120" s="51">
        <v>4199.1000000000004</v>
      </c>
      <c r="DP120" s="51">
        <v>4249.2</v>
      </c>
      <c r="DQ120" s="51">
        <v>5580.3</v>
      </c>
      <c r="DR120" s="51">
        <v>5051.3999999999996</v>
      </c>
      <c r="DS120" s="51">
        <v>3769.8</v>
      </c>
      <c r="DT120" s="51"/>
      <c r="DU120" s="51"/>
      <c r="DV120" s="51"/>
      <c r="EN120" s="51"/>
      <c r="EO120" s="51"/>
      <c r="EP120" s="51"/>
      <c r="EQ120" s="51"/>
      <c r="ER120" s="51"/>
      <c r="ES120" s="51"/>
      <c r="ET120" s="51"/>
      <c r="EU120" s="51"/>
      <c r="EV120" s="51"/>
      <c r="EW120" s="51"/>
      <c r="EX120" s="51"/>
      <c r="EY120" s="51"/>
      <c r="EZ120" s="51"/>
      <c r="FA120" s="51"/>
      <c r="FB120" s="51"/>
      <c r="FC120" s="51"/>
      <c r="FD120" s="51"/>
      <c r="FF120" s="49">
        <f t="shared" si="507"/>
        <v>2189.4</v>
      </c>
      <c r="FG120" s="49">
        <f t="shared" si="518"/>
        <v>2750.3</v>
      </c>
      <c r="FH120" s="49">
        <f t="shared" si="509"/>
        <v>3027.5</v>
      </c>
      <c r="FI120" s="49">
        <f t="shared" si="510"/>
        <v>2370.3000000000002</v>
      </c>
      <c r="FJ120" s="49">
        <f t="shared" si="511"/>
        <v>3281.3</v>
      </c>
    </row>
    <row r="121" spans="1:166" s="49" customFormat="1" x14ac:dyDescent="0.25">
      <c r="A121" s="98"/>
      <c r="B121" s="50" t="s">
        <v>298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>
        <v>1887.4</v>
      </c>
      <c r="BO121" s="51">
        <v>1866.4</v>
      </c>
      <c r="BP121" s="51">
        <v>1848.6</v>
      </c>
      <c r="BQ121" s="51">
        <v>1805.9</v>
      </c>
      <c r="BR121" s="51">
        <v>3068.5</v>
      </c>
      <c r="BS121" s="51">
        <v>2766.5</v>
      </c>
      <c r="BT121" s="51">
        <v>2714.5</v>
      </c>
      <c r="BU121" s="51">
        <v>2702.4</v>
      </c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>
        <v>2757.6</v>
      </c>
      <c r="CV121" s="51">
        <v>2723.4</v>
      </c>
      <c r="CW121" s="51">
        <v>2414.1999999999998</v>
      </c>
      <c r="CX121" s="51">
        <v>3698.2</v>
      </c>
      <c r="CY121" s="51">
        <v>3632</v>
      </c>
      <c r="CZ121" s="51">
        <v>3398.6</v>
      </c>
      <c r="DA121" s="51">
        <v>3435.5</v>
      </c>
      <c r="DB121" s="51">
        <v>4094.5</v>
      </c>
      <c r="DC121" s="51">
        <v>3969.8</v>
      </c>
      <c r="DD121" s="51">
        <v>3918.5</v>
      </c>
      <c r="DE121" s="51">
        <v>3878.8</v>
      </c>
      <c r="DF121" s="51">
        <v>1954.1</v>
      </c>
      <c r="DG121" s="51">
        <v>1940.3</v>
      </c>
      <c r="DH121" s="51">
        <v>1888.6</v>
      </c>
      <c r="DI121" s="51">
        <v>1832.5</v>
      </c>
      <c r="DJ121" s="51">
        <v>1305.0999999999999</v>
      </c>
      <c r="DK121" s="51">
        <v>1313</v>
      </c>
      <c r="DL121" s="51">
        <v>1308.8</v>
      </c>
      <c r="DM121" s="51">
        <v>1311.9</v>
      </c>
      <c r="DN121" s="51">
        <v>1438.8</v>
      </c>
      <c r="DO121" s="51">
        <v>1427.9</v>
      </c>
      <c r="DP121" s="51">
        <v>1420.4</v>
      </c>
      <c r="DQ121" s="51">
        <v>1448.5</v>
      </c>
      <c r="DR121" s="51">
        <v>1300.5</v>
      </c>
      <c r="DS121" s="51">
        <v>1315.5</v>
      </c>
      <c r="DT121" s="51"/>
      <c r="DU121" s="51"/>
      <c r="DV121" s="51"/>
      <c r="EN121" s="51"/>
      <c r="EO121" s="51"/>
      <c r="EP121" s="51"/>
      <c r="EQ121" s="51"/>
      <c r="ER121" s="51"/>
      <c r="ES121" s="51"/>
      <c r="ET121" s="51"/>
      <c r="EU121" s="51"/>
      <c r="EV121" s="51"/>
      <c r="EW121" s="51"/>
      <c r="EX121" s="51"/>
      <c r="EY121" s="51"/>
      <c r="EZ121" s="51"/>
      <c r="FA121" s="51"/>
      <c r="FB121" s="51"/>
      <c r="FC121" s="51"/>
      <c r="FD121" s="51"/>
      <c r="FF121" s="49">
        <f t="shared" si="507"/>
        <v>3698.2</v>
      </c>
      <c r="FG121" s="49">
        <f t="shared" si="518"/>
        <v>4094.5</v>
      </c>
      <c r="FH121" s="49">
        <f t="shared" si="509"/>
        <v>1954.1</v>
      </c>
      <c r="FI121" s="49">
        <f t="shared" si="510"/>
        <v>1305.0999999999999</v>
      </c>
      <c r="FJ121" s="49">
        <f t="shared" si="511"/>
        <v>1438.8</v>
      </c>
    </row>
    <row r="122" spans="1:166" s="49" customFormat="1" x14ac:dyDescent="0.25">
      <c r="A122" s="98"/>
      <c r="B122" s="50" t="s">
        <v>82</v>
      </c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>
        <v>1234.8</v>
      </c>
      <c r="BO122" s="51">
        <v>1224.3</v>
      </c>
      <c r="BP122" s="51">
        <v>1283</v>
      </c>
      <c r="BQ122" s="51">
        <v>1058.8</v>
      </c>
      <c r="BR122" s="51">
        <v>1086.3</v>
      </c>
      <c r="BS122" s="51">
        <v>1158.3</v>
      </c>
      <c r="BT122" s="51">
        <v>1207.5</v>
      </c>
      <c r="BU122" s="51">
        <v>1275.0999999999999</v>
      </c>
      <c r="BV122" s="51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M122" s="51"/>
      <c r="CN122" s="51"/>
      <c r="CO122" s="51"/>
      <c r="CP122" s="51"/>
      <c r="CQ122" s="51"/>
      <c r="CR122" s="51"/>
      <c r="CS122" s="51"/>
      <c r="CT122" s="51"/>
      <c r="CU122" s="51">
        <f>3760.4+2399.5</f>
        <v>6159.9</v>
      </c>
      <c r="CV122" s="51">
        <f>2380.9+3485.7</f>
        <v>5866.6</v>
      </c>
      <c r="CW122" s="51">
        <f>3526.5+2413.7</f>
        <v>5940.2</v>
      </c>
      <c r="CX122" s="51">
        <f>3607.2+1014.3</f>
        <v>4621.5</v>
      </c>
      <c r="CY122" s="51">
        <f>3621.9+2186.2</f>
        <v>5808.1</v>
      </c>
      <c r="CZ122" s="51">
        <f>3377.5+2039.2</f>
        <v>5416.7</v>
      </c>
      <c r="DA122" s="51">
        <f>3392.7+2107.7</f>
        <v>5500.4</v>
      </c>
      <c r="DB122" s="51">
        <f>3837.8+2099.9</f>
        <v>5937.7000000000007</v>
      </c>
      <c r="DC122" s="51">
        <f>3917.5+2200.6</f>
        <v>6118.1</v>
      </c>
      <c r="DD122" s="51">
        <f>3738+1857.3</f>
        <v>5595.3</v>
      </c>
      <c r="DE122" s="51">
        <f>3768.5+1632.5</f>
        <v>5401</v>
      </c>
      <c r="DF122" s="51">
        <f>3920+1733.7</f>
        <v>5653.7</v>
      </c>
      <c r="DG122" s="51">
        <f>1286.1+3978.1</f>
        <v>5264.2</v>
      </c>
      <c r="DH122" s="51">
        <f>3557.6+862.5</f>
        <v>4420.1000000000004</v>
      </c>
      <c r="DI122" s="51">
        <f>3641.7+171.9</f>
        <v>3813.6</v>
      </c>
      <c r="DJ122" s="51">
        <f>3709.6+87.3</f>
        <v>3796.9</v>
      </c>
      <c r="DK122" s="51">
        <v>3842.1</v>
      </c>
      <c r="DL122" s="51">
        <v>3330.7</v>
      </c>
      <c r="DM122" s="51">
        <v>3468.3</v>
      </c>
      <c r="DN122" s="51">
        <v>3849.2</v>
      </c>
      <c r="DO122" s="51">
        <v>4189.3999999999996</v>
      </c>
      <c r="DP122" s="51">
        <v>3496.6</v>
      </c>
      <c r="DQ122" s="51">
        <v>3878.8</v>
      </c>
      <c r="DR122" s="51">
        <v>4060.9</v>
      </c>
      <c r="DS122" s="51">
        <v>5370.5</v>
      </c>
      <c r="DT122" s="51"/>
      <c r="DU122" s="51"/>
      <c r="DV122" s="51"/>
      <c r="EN122" s="51"/>
      <c r="EO122" s="51"/>
      <c r="EP122" s="51"/>
      <c r="EQ122" s="51"/>
      <c r="ER122" s="51"/>
      <c r="ES122" s="51"/>
      <c r="ET122" s="51"/>
      <c r="EU122" s="51"/>
      <c r="EV122" s="51"/>
      <c r="EW122" s="51"/>
      <c r="EX122" s="51"/>
      <c r="EY122" s="51"/>
      <c r="EZ122" s="51"/>
      <c r="FA122" s="51"/>
      <c r="FB122" s="51"/>
      <c r="FC122" s="51"/>
      <c r="FD122" s="51"/>
      <c r="FF122" s="49">
        <f t="shared" si="507"/>
        <v>4621.5</v>
      </c>
      <c r="FG122" s="49">
        <f t="shared" si="518"/>
        <v>5937.7000000000007</v>
      </c>
      <c r="FH122" s="49">
        <f t="shared" si="509"/>
        <v>5653.7</v>
      </c>
      <c r="FI122" s="49">
        <f t="shared" si="510"/>
        <v>3796.9</v>
      </c>
      <c r="FJ122" s="49">
        <f t="shared" si="511"/>
        <v>3849.2</v>
      </c>
    </row>
    <row r="123" spans="1:166" s="49" customFormat="1" x14ac:dyDescent="0.25">
      <c r="A123" s="98"/>
      <c r="B123" s="50" t="s">
        <v>299</v>
      </c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>
        <v>1594.5</v>
      </c>
      <c r="BO123" s="51">
        <v>1886.2</v>
      </c>
      <c r="BP123" s="51">
        <v>1550.1</v>
      </c>
      <c r="BQ123" s="51">
        <v>1449</v>
      </c>
      <c r="BR123" s="51">
        <v>1573.8</v>
      </c>
      <c r="BS123" s="51">
        <v>1533.9</v>
      </c>
      <c r="BT123" s="51">
        <v>1472.8</v>
      </c>
      <c r="BU123" s="51">
        <v>1815</v>
      </c>
      <c r="BV123" s="51"/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1"/>
      <c r="CL123" s="51"/>
      <c r="CM123" s="51"/>
      <c r="CN123" s="51"/>
      <c r="CO123" s="51"/>
      <c r="CP123" s="51"/>
      <c r="CQ123" s="51"/>
      <c r="CR123" s="51"/>
      <c r="CS123" s="51"/>
      <c r="CT123" s="51"/>
      <c r="CU123" s="51">
        <f>1169.8+508.2</f>
        <v>1678</v>
      </c>
      <c r="CV123" s="51">
        <f>1142.8+503.3</f>
        <v>1646.1</v>
      </c>
      <c r="CW123" s="51">
        <f>1100.4+485.2</f>
        <v>1585.6000000000001</v>
      </c>
      <c r="CX123" s="51">
        <v>2187.5</v>
      </c>
      <c r="CY123" s="51">
        <v>1873</v>
      </c>
      <c r="CZ123" s="51">
        <v>1826.8</v>
      </c>
      <c r="DA123" s="51">
        <v>1702.6</v>
      </c>
      <c r="DB123" s="51">
        <v>1707.5</v>
      </c>
      <c r="DC123" s="51">
        <v>1737.3</v>
      </c>
      <c r="DD123" s="51">
        <v>1801.9</v>
      </c>
      <c r="DE123" s="51">
        <v>1748.7</v>
      </c>
      <c r="DF123" s="51">
        <v>1644.3</v>
      </c>
      <c r="DG123" s="51">
        <v>1713.9</v>
      </c>
      <c r="DH123" s="51">
        <v>1783.1</v>
      </c>
      <c r="DI123" s="51">
        <v>1852.9</v>
      </c>
      <c r="DJ123" s="51">
        <v>1736.7</v>
      </c>
      <c r="DK123" s="51">
        <v>1822.5</v>
      </c>
      <c r="DL123" s="51">
        <v>1951.8</v>
      </c>
      <c r="DM123" s="51">
        <v>1906.1</v>
      </c>
      <c r="DN123" s="51">
        <v>2240.6</v>
      </c>
      <c r="DO123" s="51">
        <v>2270.8000000000002</v>
      </c>
      <c r="DP123" s="51">
        <v>2470.6999999999998</v>
      </c>
      <c r="DQ123" s="51">
        <v>2239.4</v>
      </c>
      <c r="DR123" s="51">
        <v>2178.1999999999998</v>
      </c>
      <c r="DS123" s="51">
        <v>2288.4</v>
      </c>
      <c r="DT123" s="51"/>
      <c r="DU123" s="51"/>
      <c r="DV123" s="51"/>
      <c r="EN123" s="51"/>
      <c r="EO123" s="51"/>
      <c r="EP123" s="51"/>
      <c r="EQ123" s="51"/>
      <c r="ER123" s="51"/>
      <c r="ES123" s="51"/>
      <c r="ET123" s="51"/>
      <c r="EU123" s="51"/>
      <c r="EV123" s="51"/>
      <c r="EW123" s="51"/>
      <c r="EX123" s="51"/>
      <c r="EY123" s="51"/>
      <c r="EZ123" s="51"/>
      <c r="FA123" s="51"/>
      <c r="FB123" s="51"/>
      <c r="FC123" s="51"/>
      <c r="FD123" s="51"/>
      <c r="FF123" s="49">
        <f t="shared" si="507"/>
        <v>2187.5</v>
      </c>
      <c r="FG123" s="49">
        <f t="shared" si="518"/>
        <v>1707.5</v>
      </c>
      <c r="FH123" s="49">
        <f t="shared" si="509"/>
        <v>1644.3</v>
      </c>
      <c r="FI123" s="49">
        <f t="shared" si="510"/>
        <v>1736.7</v>
      </c>
      <c r="FJ123" s="49">
        <f t="shared" si="511"/>
        <v>2240.6</v>
      </c>
    </row>
    <row r="124" spans="1:166" s="49" customFormat="1" x14ac:dyDescent="0.25">
      <c r="A124" s="98"/>
      <c r="B124" s="50" t="s">
        <v>300</v>
      </c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>
        <v>12412.8</v>
      </c>
      <c r="BO124" s="51">
        <v>13934.2</v>
      </c>
      <c r="BP124" s="51">
        <v>14277</v>
      </c>
      <c r="BQ124" s="51">
        <v>15057.9</v>
      </c>
      <c r="BR124" s="51">
        <v>13535.6</v>
      </c>
      <c r="BS124" s="51">
        <v>14822.6</v>
      </c>
      <c r="BT124" s="51">
        <v>14307.9</v>
      </c>
      <c r="BU124" s="51">
        <v>16056.9</v>
      </c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>
        <v>2565</v>
      </c>
      <c r="CV124" s="51">
        <v>2857.3</v>
      </c>
      <c r="CW124" s="51">
        <v>3462.3</v>
      </c>
      <c r="CX124" s="51">
        <f>2699.1+486.7</f>
        <v>3185.7999999999997</v>
      </c>
      <c r="CY124" s="51">
        <v>3197.2</v>
      </c>
      <c r="CZ124" s="51">
        <v>4272</v>
      </c>
      <c r="DA124" s="51">
        <v>4996</v>
      </c>
      <c r="DB124" s="51">
        <v>5825.2</v>
      </c>
      <c r="DC124" s="51">
        <v>7099.3</v>
      </c>
      <c r="DD124" s="51">
        <v>6663.5</v>
      </c>
      <c r="DE124" s="51">
        <v>7954.1</v>
      </c>
      <c r="DF124" s="51">
        <v>9154.7999999999993</v>
      </c>
      <c r="DG124" s="51">
        <v>9462</v>
      </c>
      <c r="DH124" s="51">
        <v>8659.2000000000007</v>
      </c>
      <c r="DI124" s="51">
        <v>10165.9</v>
      </c>
      <c r="DJ124" s="51">
        <v>10775.4</v>
      </c>
      <c r="DK124" s="51">
        <v>11294.9</v>
      </c>
      <c r="DL124" s="51">
        <v>11149.3</v>
      </c>
      <c r="DM124" s="51">
        <v>11307.4</v>
      </c>
      <c r="DN124" s="51">
        <v>10863.7</v>
      </c>
      <c r="DO124" s="51">
        <v>12897.4</v>
      </c>
      <c r="DP124" s="51">
        <v>13635.5</v>
      </c>
      <c r="DQ124" s="51">
        <v>14320.7</v>
      </c>
      <c r="DR124" s="51">
        <v>14271.6</v>
      </c>
      <c r="DS124" s="51">
        <v>15846.8</v>
      </c>
      <c r="DT124" s="51"/>
      <c r="DU124" s="51"/>
      <c r="DV124" s="51"/>
      <c r="EN124" s="51"/>
      <c r="EO124" s="51"/>
      <c r="EP124" s="51"/>
      <c r="EQ124" s="51"/>
      <c r="ER124" s="51"/>
      <c r="ES124" s="51"/>
      <c r="ET124" s="51"/>
      <c r="EU124" s="51"/>
      <c r="EV124" s="51"/>
      <c r="EW124" s="51"/>
      <c r="EX124" s="51"/>
      <c r="EY124" s="51"/>
      <c r="EZ124" s="51"/>
      <c r="FA124" s="51"/>
      <c r="FB124" s="51"/>
      <c r="FC124" s="51"/>
      <c r="FD124" s="51"/>
      <c r="FF124" s="49">
        <f t="shared" si="507"/>
        <v>3185.7999999999997</v>
      </c>
      <c r="FG124" s="49">
        <f t="shared" si="518"/>
        <v>5825.2</v>
      </c>
      <c r="FH124" s="49">
        <f t="shared" si="509"/>
        <v>9154.7999999999993</v>
      </c>
      <c r="FI124" s="49">
        <f t="shared" si="510"/>
        <v>10775.4</v>
      </c>
      <c r="FJ124" s="49">
        <f t="shared" si="511"/>
        <v>10863.7</v>
      </c>
    </row>
    <row r="125" spans="1:166" s="49" customFormat="1" x14ac:dyDescent="0.25">
      <c r="A125" s="98"/>
      <c r="B125" s="50" t="s">
        <v>301</v>
      </c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>
        <f>SUM(BN114:BN124)</f>
        <v>31001.4</v>
      </c>
      <c r="BO125" s="51">
        <f>SUM(BO114:BO124)</f>
        <v>31695.3</v>
      </c>
      <c r="BP125" s="51">
        <f t="shared" ref="BP125" si="519">SUM(BP114:BP124)</f>
        <v>32779.300000000003</v>
      </c>
      <c r="BQ125" s="51">
        <f>SUM(BQ114:BQ124)</f>
        <v>33042.199999999997</v>
      </c>
      <c r="BR125" s="51">
        <f>SUM(BR114:BR124)</f>
        <v>33659.799999999996</v>
      </c>
      <c r="BS125" s="51">
        <f>SUM(BS114:BS124)</f>
        <v>32238.199999999997</v>
      </c>
      <c r="BT125" s="51">
        <f>SUM(BT114:BT124)</f>
        <v>31812.6</v>
      </c>
      <c r="BU125" s="51">
        <f>SUM(BU114:BU124)</f>
        <v>34321</v>
      </c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>
        <f t="shared" ref="CU125:CV125" si="520">SUM(CU114:CU124)</f>
        <v>38006.800000000003</v>
      </c>
      <c r="CV125" s="51">
        <f t="shared" si="520"/>
        <v>38666.400000000009</v>
      </c>
      <c r="CW125" s="51">
        <f t="shared" ref="CW125:CX125" si="521">SUM(CW114:CW124)</f>
        <v>37893.100000000006</v>
      </c>
      <c r="CX125" s="51">
        <f t="shared" si="521"/>
        <v>39286.100000000006</v>
      </c>
      <c r="CY125" s="51">
        <f t="shared" ref="CY125:DB125" si="522">SUM(CY114:CY124)</f>
        <v>41102.799999999996</v>
      </c>
      <c r="CZ125" s="51">
        <f t="shared" ref="CZ125" si="523">SUM(CZ114:CZ124)</f>
        <v>41967</v>
      </c>
      <c r="DA125" s="51">
        <f t="shared" si="522"/>
        <v>43945.999999999993</v>
      </c>
      <c r="DB125" s="51">
        <f t="shared" si="522"/>
        <v>46633.099999999991</v>
      </c>
      <c r="DC125" s="51">
        <f t="shared" ref="DC125" si="524">SUM(DC114:DC124)</f>
        <v>46838.3</v>
      </c>
      <c r="DD125" s="51">
        <f t="shared" ref="DD125" si="525">SUM(DD114:DD124)</f>
        <v>47809.000000000007</v>
      </c>
      <c r="DE125" s="51">
        <f t="shared" ref="DE125:DS125" si="526">SUM(DE114:DE124)</f>
        <v>48187</v>
      </c>
      <c r="DF125" s="51">
        <f t="shared" si="526"/>
        <v>48806</v>
      </c>
      <c r="DG125" s="51">
        <f t="shared" si="526"/>
        <v>46919.299999999996</v>
      </c>
      <c r="DH125" s="51">
        <f t="shared" si="526"/>
        <v>47063.599999999991</v>
      </c>
      <c r="DI125" s="51">
        <f t="shared" si="526"/>
        <v>47461.5</v>
      </c>
      <c r="DJ125" s="51">
        <f t="shared" si="526"/>
        <v>49489.799999999996</v>
      </c>
      <c r="DK125" s="51">
        <f t="shared" si="526"/>
        <v>53163</v>
      </c>
      <c r="DL125" s="51">
        <f t="shared" si="526"/>
        <v>54814</v>
      </c>
      <c r="DM125" s="51">
        <f t="shared" si="526"/>
        <v>57915.5</v>
      </c>
      <c r="DN125" s="51">
        <f t="shared" si="526"/>
        <v>64006.3</v>
      </c>
      <c r="DO125" s="51">
        <f t="shared" si="526"/>
        <v>63943.500000000007</v>
      </c>
      <c r="DP125" s="51">
        <f t="shared" si="526"/>
        <v>71874.799999999988</v>
      </c>
      <c r="DQ125" s="51">
        <f t="shared" si="526"/>
        <v>75606.900000000009</v>
      </c>
      <c r="DR125" s="51">
        <f t="shared" si="526"/>
        <v>78714.900000000009</v>
      </c>
      <c r="DS125" s="51">
        <f t="shared" si="526"/>
        <v>89388.800000000003</v>
      </c>
      <c r="DT125" s="51"/>
      <c r="DU125" s="51"/>
      <c r="DV125" s="51"/>
      <c r="EN125" s="51"/>
      <c r="EO125" s="51"/>
      <c r="EP125" s="51"/>
      <c r="EQ125" s="51"/>
      <c r="ER125" s="51"/>
      <c r="ES125" s="51"/>
      <c r="ET125" s="51"/>
      <c r="EU125" s="51"/>
      <c r="EV125" s="51"/>
      <c r="EW125" s="51"/>
      <c r="EX125" s="51"/>
      <c r="EY125" s="51"/>
      <c r="EZ125" s="51"/>
      <c r="FA125" s="51"/>
      <c r="FB125" s="51"/>
      <c r="FC125" s="51"/>
      <c r="FD125" s="51"/>
      <c r="FF125" s="49">
        <f t="shared" si="507"/>
        <v>39286.100000000006</v>
      </c>
      <c r="FG125" s="49">
        <f t="shared" si="518"/>
        <v>46633.099999999991</v>
      </c>
      <c r="FH125" s="49">
        <f t="shared" si="509"/>
        <v>48806</v>
      </c>
      <c r="FI125" s="49">
        <f t="shared" si="510"/>
        <v>49489.799999999996</v>
      </c>
      <c r="FJ125" s="49">
        <f t="shared" si="511"/>
        <v>64006.3</v>
      </c>
    </row>
    <row r="126" spans="1:166" x14ac:dyDescent="0.25">
      <c r="A126" s="102"/>
      <c r="FG126" s="49"/>
      <c r="FH126" s="49"/>
      <c r="FI126" s="49"/>
    </row>
    <row r="127" spans="1:166" x14ac:dyDescent="0.25">
      <c r="A127" s="102"/>
      <c r="B127" s="50" t="s">
        <v>387</v>
      </c>
      <c r="CU127" s="51">
        <f t="shared" ref="CU127:CX127" si="527">CU81</f>
        <v>1094.6999999999975</v>
      </c>
      <c r="CV127" s="51">
        <f t="shared" si="527"/>
        <v>1329.0000000000009</v>
      </c>
      <c r="CW127" s="51">
        <f t="shared" si="527"/>
        <v>1294.8000000000011</v>
      </c>
      <c r="CX127" s="51">
        <f t="shared" si="527"/>
        <v>1354.7999999999995</v>
      </c>
      <c r="CY127" s="51">
        <f t="shared" ref="CY127:DB127" si="528">CY81</f>
        <v>1431.4999999999975</v>
      </c>
      <c r="CZ127" s="51">
        <f t="shared" si="528"/>
        <v>1228.4999999999986</v>
      </c>
      <c r="DA127" s="51">
        <f t="shared" si="528"/>
        <v>1164.1999999999989</v>
      </c>
      <c r="DB127" s="51">
        <f t="shared" si="528"/>
        <v>1892.6999999999991</v>
      </c>
      <c r="DC127" s="51">
        <f t="shared" ref="DC127:DJ127" si="529">DC81</f>
        <v>1777.5000000000007</v>
      </c>
      <c r="DD127" s="51">
        <f t="shared" si="529"/>
        <v>1698.2999999999972</v>
      </c>
      <c r="DE127" s="51">
        <f t="shared" si="529"/>
        <v>1693.5999999999979</v>
      </c>
      <c r="DF127" s="51">
        <f t="shared" si="529"/>
        <v>2207.1999999999994</v>
      </c>
      <c r="DG127" s="51">
        <f t="shared" si="529"/>
        <v>2538.4999999999991</v>
      </c>
      <c r="DH127" s="51">
        <f t="shared" si="529"/>
        <v>1703.7000000000016</v>
      </c>
      <c r="DI127" s="51">
        <f t="shared" si="529"/>
        <v>1720.4999999999993</v>
      </c>
      <c r="DJ127" s="51">
        <f t="shared" si="529"/>
        <v>2026.900000000001</v>
      </c>
      <c r="DK127" s="51">
        <f t="shared" ref="DK127:DP127" si="530">+DK81</f>
        <v>1504.4999999999991</v>
      </c>
      <c r="DL127" s="51">
        <f t="shared" si="530"/>
        <v>1481.3999999999992</v>
      </c>
      <c r="DM127" s="51">
        <f t="shared" si="530"/>
        <v>2633.9399999999978</v>
      </c>
      <c r="DN127" s="51">
        <f t="shared" si="530"/>
        <v>2976.9000000000019</v>
      </c>
      <c r="DO127" s="51">
        <f t="shared" si="530"/>
        <v>2388.1999999999998</v>
      </c>
      <c r="DP127" s="51">
        <f t="shared" si="530"/>
        <v>3701.9999999999982</v>
      </c>
      <c r="DQ127" s="51">
        <f>+DQ81</f>
        <v>4017.8000000000052</v>
      </c>
      <c r="DR127" s="51">
        <f>+DR81</f>
        <v>5283.3739850000011</v>
      </c>
      <c r="DS127" s="51">
        <f>+DS81</f>
        <v>4604.7</v>
      </c>
      <c r="FF127" s="49">
        <f>+DA127</f>
        <v>1164.1999999999989</v>
      </c>
      <c r="FG127" s="49">
        <f>+DB127</f>
        <v>1892.6999999999991</v>
      </c>
      <c r="FH127" s="49">
        <f t="shared" si="509"/>
        <v>2207.1999999999994</v>
      </c>
      <c r="FI127" s="49">
        <f t="shared" si="510"/>
        <v>2026.900000000001</v>
      </c>
      <c r="FJ127" s="49">
        <f>SUM(DK127:DN127)</f>
        <v>8596.739999999998</v>
      </c>
    </row>
    <row r="128" spans="1:166" x14ac:dyDescent="0.25">
      <c r="A128" s="102"/>
      <c r="B128" s="50" t="s">
        <v>388</v>
      </c>
      <c r="CU128" s="51">
        <v>4241.6000000000004</v>
      </c>
      <c r="CV128" s="51">
        <f>5568.8-CU128</f>
        <v>1327.1999999999998</v>
      </c>
      <c r="CW128" s="51">
        <f>6822.7-CV128-CU128</f>
        <v>1253.8999999999996</v>
      </c>
      <c r="CX128" s="51">
        <f>8318.4-CW128-CV128-CU128</f>
        <v>1495.6999999999998</v>
      </c>
      <c r="CY128" s="51">
        <v>1456.5</v>
      </c>
      <c r="CZ128" s="51">
        <f>2868.5-CY128</f>
        <v>1412</v>
      </c>
      <c r="DA128" s="51">
        <f>4076.9-CZ128-CY128</f>
        <v>1208.4000000000001</v>
      </c>
      <c r="DB128" s="51">
        <f>6193.7-DA128-CZ128-CY128</f>
        <v>2116.7999999999993</v>
      </c>
      <c r="DC128" s="51">
        <v>1355.3</v>
      </c>
      <c r="DD128" s="51">
        <f>2745.5-DC128</f>
        <v>1390.2</v>
      </c>
      <c r="DE128" s="51">
        <f>3855.6-DD128-DC128</f>
        <v>1110.0999999999997</v>
      </c>
      <c r="DF128" s="51">
        <f>5581.7-DE128-DD128-DC128</f>
        <v>1726.1000000000006</v>
      </c>
      <c r="DG128" s="51">
        <v>1902.9</v>
      </c>
      <c r="DH128" s="51">
        <f>2855.4-DG128</f>
        <v>952.5</v>
      </c>
      <c r="DI128" s="51">
        <f>4307.1-DH128-DG128</f>
        <v>1451.7000000000003</v>
      </c>
      <c r="DJ128" s="51">
        <f>6244.8-DI128-DH128-DG128</f>
        <v>1937.7000000000003</v>
      </c>
      <c r="DK128" s="51">
        <v>1344.9</v>
      </c>
      <c r="DL128" s="52">
        <f>3108.1-DK128</f>
        <v>1763.1999999999998</v>
      </c>
      <c r="DM128" s="51">
        <f>3050.7-DL128-DK128</f>
        <v>-57.400000000000091</v>
      </c>
      <c r="DN128" s="51">
        <f>5240.4-DM128-DL128-DK128</f>
        <v>2189.6999999999994</v>
      </c>
      <c r="DO128" s="51">
        <v>2242.9</v>
      </c>
      <c r="DP128" s="51">
        <f>5209.9-DO128</f>
        <v>2966.9999999999995</v>
      </c>
      <c r="DQ128" s="51">
        <f>6180.2-DP128-DO128</f>
        <v>970.30000000000018</v>
      </c>
      <c r="DR128" s="51">
        <f>10590-DQ128-DP128-DO128</f>
        <v>4409.8000000000011</v>
      </c>
      <c r="DS128" s="51">
        <v>2759.3</v>
      </c>
      <c r="FF128" s="49">
        <f t="shared" ref="FF128:FF135" si="531">SUM(CU128:CX128)</f>
        <v>8318.4</v>
      </c>
      <c r="FG128" s="49">
        <f t="shared" ref="FG128:FG135" si="532">SUM(CY128:DB128)</f>
        <v>6193.6999999999989</v>
      </c>
      <c r="FH128" s="49">
        <f t="shared" ref="FH128:FH133" si="533">SUM(DC128:DF128)</f>
        <v>5581.7</v>
      </c>
      <c r="FI128" s="49">
        <f t="shared" ref="FI128:FI133" si="534">SUM(DG128:DJ128)</f>
        <v>6244.8000000000011</v>
      </c>
      <c r="FJ128" s="49">
        <f t="shared" ref="FJ128:FJ133" si="535">SUM(DK128:DN128)</f>
        <v>5240.3999999999996</v>
      </c>
    </row>
    <row r="129" spans="1:166" x14ac:dyDescent="0.25">
      <c r="A129" s="102"/>
      <c r="B129" s="50" t="s">
        <v>389</v>
      </c>
      <c r="CU129" s="51">
        <v>356.5</v>
      </c>
      <c r="CV129" s="51">
        <f>603.9-CU129</f>
        <v>247.39999999999998</v>
      </c>
      <c r="CW129" s="51">
        <f>891.9-CV129-CU129</f>
        <v>288</v>
      </c>
      <c r="CX129" s="51">
        <f>1232.6-CW129-CV129-CU129</f>
        <v>340.69999999999993</v>
      </c>
      <c r="CY129" s="51">
        <v>273.60000000000002</v>
      </c>
      <c r="CZ129" s="51">
        <f>598-CY129</f>
        <v>324.39999999999998</v>
      </c>
      <c r="DA129" s="51">
        <f>956.4-CZ129-CY129</f>
        <v>358.4</v>
      </c>
      <c r="DB129" s="51">
        <f>1323.9-DA129-CZ129-CY129</f>
        <v>367.50000000000011</v>
      </c>
      <c r="DC129" s="51">
        <v>350.3</v>
      </c>
      <c r="DD129" s="51">
        <f>719.6-DC129</f>
        <v>369.3</v>
      </c>
      <c r="DE129" s="51">
        <f>1101.9-DD129-DC129</f>
        <v>382.30000000000013</v>
      </c>
      <c r="DF129" s="51">
        <f>1547.6-DE129-DD129-DC129</f>
        <v>445.69999999999976</v>
      </c>
      <c r="DG129" s="51">
        <v>435.7</v>
      </c>
      <c r="DH129" s="51">
        <f>784.6-DG129</f>
        <v>348.90000000000003</v>
      </c>
      <c r="DI129" s="51">
        <f>1147.5-DH129-DG129</f>
        <v>362.89999999999992</v>
      </c>
      <c r="DJ129" s="51">
        <f>1522.5-DI129-DH129-DG129</f>
        <v>375.00000000000006</v>
      </c>
      <c r="DK129" s="51">
        <v>362.3</v>
      </c>
      <c r="DL129" s="51">
        <f>728.6-DK129</f>
        <v>366.3</v>
      </c>
      <c r="DM129" s="51">
        <f>1139.6-DL129-DK129</f>
        <v>410.99999999999994</v>
      </c>
      <c r="DN129" s="51">
        <f>1527.3-DM129-DL129-DK129</f>
        <v>387.7</v>
      </c>
      <c r="DO129" s="51">
        <v>400.6</v>
      </c>
      <c r="DP129" s="51">
        <f>815-DO129</f>
        <v>414.4</v>
      </c>
      <c r="DQ129" s="51">
        <f>1281.8-DP129-DO129</f>
        <v>466.79999999999995</v>
      </c>
      <c r="DR129" s="51">
        <f>1766.6-DQ129-DP129-DO129</f>
        <v>484.79999999999995</v>
      </c>
      <c r="DS129" s="51">
        <v>462.8</v>
      </c>
      <c r="FF129" s="49">
        <f t="shared" si="531"/>
        <v>1232.5999999999999</v>
      </c>
      <c r="FG129" s="49">
        <f t="shared" si="532"/>
        <v>1323.9</v>
      </c>
      <c r="FH129" s="49">
        <f t="shared" si="533"/>
        <v>1547.6</v>
      </c>
      <c r="FI129" s="49">
        <f t="shared" si="534"/>
        <v>1522.5</v>
      </c>
      <c r="FJ129" s="49">
        <f t="shared" si="535"/>
        <v>1527.3</v>
      </c>
    </row>
    <row r="130" spans="1:166" x14ac:dyDescent="0.25">
      <c r="A130" s="102"/>
      <c r="B130" s="50" t="s">
        <v>385</v>
      </c>
      <c r="CU130" s="51">
        <v>-72.400000000000006</v>
      </c>
      <c r="CV130" s="51">
        <f>-11.3-CU130</f>
        <v>61.100000000000009</v>
      </c>
      <c r="CW130" s="51">
        <f>-23.4-CV130-CU130</f>
        <v>-12.099999999999994</v>
      </c>
      <c r="CX130" s="51">
        <f>62.4-CW130-CV130-CU130</f>
        <v>85.8</v>
      </c>
      <c r="CY130" s="51">
        <v>11.2</v>
      </c>
      <c r="CZ130" s="51">
        <f>-93.5-CY130</f>
        <v>-104.7</v>
      </c>
      <c r="DA130" s="51">
        <f>66.2-CZ130-CY130</f>
        <v>159.70000000000002</v>
      </c>
      <c r="DB130" s="51">
        <f>-134.5-DA130-CZ130-CY130</f>
        <v>-200.70000000000005</v>
      </c>
      <c r="DC130" s="51">
        <v>-119.1</v>
      </c>
      <c r="DD130" s="51">
        <f>-413.8-DC130</f>
        <v>-294.70000000000005</v>
      </c>
      <c r="DE130" s="51">
        <f>-709.8-DD130-DC130</f>
        <v>-295.99999999999989</v>
      </c>
      <c r="DF130" s="51">
        <f>-802.3-DE130-DD130-DC130</f>
        <v>-92.500000000000028</v>
      </c>
      <c r="DG130" s="51">
        <v>-506.6</v>
      </c>
      <c r="DH130" s="51">
        <f>-1125-DG130</f>
        <v>-618.4</v>
      </c>
      <c r="DI130" s="51">
        <f>-2195.6-DH130-DG130</f>
        <v>-1070.5999999999999</v>
      </c>
      <c r="DJ130" s="51">
        <f>-2185.2-DI130-DH130-DG130</f>
        <v>10.400000000000091</v>
      </c>
      <c r="DK130" s="51">
        <v>-559.4</v>
      </c>
      <c r="DL130" s="51">
        <f>-990.5-DK130</f>
        <v>-431.1</v>
      </c>
      <c r="DM130" s="51">
        <f>-1834.8-DL130-DK130</f>
        <v>-844.29999999999984</v>
      </c>
      <c r="DN130" s="51">
        <f>-2341-DM130-DL130-DK130</f>
        <v>-506.20000000000039</v>
      </c>
      <c r="DO130" s="51">
        <v>-279</v>
      </c>
      <c r="DP130" s="51">
        <f>-1286.6-DO130</f>
        <v>-1007.5999999999999</v>
      </c>
      <c r="DQ130" s="51">
        <f>-1716.4-DP130-DO130</f>
        <v>-429.80000000000018</v>
      </c>
      <c r="DR130" s="51">
        <f>-2683.1-DQ130-DP130-DO130</f>
        <v>-966.69999999999982</v>
      </c>
      <c r="DS130" s="51">
        <v>-391.6</v>
      </c>
      <c r="FF130" s="49">
        <f t="shared" si="531"/>
        <v>62.400000000000006</v>
      </c>
      <c r="FG130" s="49">
        <f t="shared" si="532"/>
        <v>-134.50000000000003</v>
      </c>
      <c r="FH130" s="49">
        <f t="shared" si="533"/>
        <v>-802.3</v>
      </c>
      <c r="FI130" s="49">
        <f t="shared" si="534"/>
        <v>-2185.1999999999998</v>
      </c>
      <c r="FJ130" s="49">
        <f t="shared" si="535"/>
        <v>-2341</v>
      </c>
    </row>
    <row r="131" spans="1:166" x14ac:dyDescent="0.25">
      <c r="A131" s="102"/>
      <c r="B131" s="50" t="s">
        <v>390</v>
      </c>
      <c r="CU131" s="51">
        <v>75.8</v>
      </c>
      <c r="CV131" s="51">
        <f>155.3-CU131</f>
        <v>79.500000000000014</v>
      </c>
      <c r="CW131" s="51">
        <f>230.8-CV131-CU131</f>
        <v>75.500000000000014</v>
      </c>
      <c r="CX131" s="51">
        <f>312.4-CW131-CV131-CU131</f>
        <v>81.59999999999998</v>
      </c>
      <c r="CY131" s="51">
        <v>71.8</v>
      </c>
      <c r="CZ131" s="51">
        <f>148.6-CY131</f>
        <v>76.8</v>
      </c>
      <c r="DA131" s="51">
        <f>220.3-CZ131-CY131</f>
        <v>71.7</v>
      </c>
      <c r="DB131" s="51">
        <f>308.1-DA131-CZ131-CY131</f>
        <v>87.800000000000026</v>
      </c>
      <c r="DC131" s="51">
        <v>85.5</v>
      </c>
      <c r="DD131" s="51">
        <f>177.4-DC131</f>
        <v>91.9</v>
      </c>
      <c r="DE131" s="51">
        <f>267.5-DD131-DC131</f>
        <v>90.1</v>
      </c>
      <c r="DF131" s="51">
        <f>342.8-DE131-DD131-DC131</f>
        <v>75.300000000000011</v>
      </c>
      <c r="DG131" s="51">
        <v>101</v>
      </c>
      <c r="DH131" s="51">
        <f>193.1-DG131</f>
        <v>92.1</v>
      </c>
      <c r="DI131" s="51">
        <f>278.2-DH131-DG131</f>
        <v>85.1</v>
      </c>
      <c r="DJ131" s="51">
        <f>371.1-DI131-DH131-DG131</f>
        <v>92.9</v>
      </c>
      <c r="DK131" s="51">
        <v>131.19999999999999</v>
      </c>
      <c r="DL131" s="51">
        <f>292.7-DK131</f>
        <v>161.5</v>
      </c>
      <c r="DM131" s="51">
        <f>508.3-DL131-DK131</f>
        <v>215.60000000000002</v>
      </c>
      <c r="DN131" s="51">
        <f>628.5-DM131-DL131-DK131</f>
        <v>120.19999999999999</v>
      </c>
      <c r="DO131" s="51">
        <v>159.4</v>
      </c>
      <c r="DP131" s="51">
        <f>370.5-DO131</f>
        <v>211.1</v>
      </c>
      <c r="DQ131" s="51">
        <f>503.7-DP131-DO131</f>
        <v>133.20000000000002</v>
      </c>
      <c r="DR131" s="51">
        <f>645.6-DQ131-DP131-DO131</f>
        <v>141.89999999999995</v>
      </c>
      <c r="DS131" s="51">
        <v>153.69999999999999</v>
      </c>
      <c r="FF131" s="49">
        <f t="shared" si="531"/>
        <v>312.39999999999998</v>
      </c>
      <c r="FG131" s="49">
        <f t="shared" si="532"/>
        <v>308.10000000000002</v>
      </c>
      <c r="FH131" s="49">
        <f t="shared" si="533"/>
        <v>342.8</v>
      </c>
      <c r="FI131" s="49">
        <f t="shared" si="534"/>
        <v>371.1</v>
      </c>
      <c r="FJ131" s="49">
        <f t="shared" si="535"/>
        <v>628.5</v>
      </c>
    </row>
    <row r="132" spans="1:166" x14ac:dyDescent="0.25">
      <c r="A132" s="102"/>
      <c r="B132" s="50" t="s">
        <v>391</v>
      </c>
      <c r="CU132" s="51">
        <v>-3680.5</v>
      </c>
      <c r="CV132" s="51">
        <f>-3680.5-CU132</f>
        <v>0</v>
      </c>
      <c r="CW132" s="51">
        <f>-3680.5-CV132-CU132</f>
        <v>0</v>
      </c>
      <c r="CX132" s="51">
        <f>-3680.5-309.8-CW132-CV132-CU132</f>
        <v>-309.80000000000018</v>
      </c>
      <c r="CY132" s="51">
        <v>0</v>
      </c>
      <c r="CZ132" s="51">
        <f>-765-CY132</f>
        <v>-765</v>
      </c>
      <c r="DA132" s="51">
        <f>-909.5-CZ132-CY132</f>
        <v>-144.5</v>
      </c>
      <c r="DB132" s="51">
        <f>-1438.5-DA132-CZ132-CY132</f>
        <v>-529</v>
      </c>
      <c r="DC132" s="51">
        <v>-302.2</v>
      </c>
      <c r="DD132" s="51">
        <f>-518.1-DC132</f>
        <v>-215.90000000000003</v>
      </c>
      <c r="DE132" s="51">
        <f>-271.1-DD132-DC132</f>
        <v>247</v>
      </c>
      <c r="DF132" s="51">
        <f>-178-DE132-DD132-DC132</f>
        <v>93.100000000000023</v>
      </c>
      <c r="DG132" s="51">
        <v>426.1</v>
      </c>
      <c r="DH132" s="51">
        <f>545.6-DG132</f>
        <v>119.5</v>
      </c>
      <c r="DI132" s="51">
        <f>676.4-DH132-DG132</f>
        <v>130.79999999999995</v>
      </c>
      <c r="DJ132" s="51">
        <f>420-DI132-DH132-DG132</f>
        <v>-256.39999999999998</v>
      </c>
      <c r="DK132" s="51">
        <v>14.2</v>
      </c>
      <c r="DL132" s="51">
        <f>80-DK132</f>
        <v>65.8</v>
      </c>
      <c r="DM132" s="51">
        <f>144.5-DL132-DK132</f>
        <v>64.5</v>
      </c>
      <c r="DN132" s="51">
        <f>23.5-DM132-DL132-DK132</f>
        <v>-121</v>
      </c>
      <c r="DO132" s="51">
        <v>-15.8</v>
      </c>
      <c r="DP132" s="51">
        <f>142.2-DO132</f>
        <v>158</v>
      </c>
      <c r="DQ132" s="51">
        <f>29.8-DP132-DO132</f>
        <v>-112.39999999999999</v>
      </c>
      <c r="DR132" s="51">
        <f>49.8-DQ132-DP132-DO132</f>
        <v>19.999999999999989</v>
      </c>
      <c r="DS132" s="51">
        <v>149.1</v>
      </c>
      <c r="FF132" s="49">
        <f t="shared" si="531"/>
        <v>-3990.3</v>
      </c>
      <c r="FG132" s="49">
        <f t="shared" si="532"/>
        <v>-1438.5</v>
      </c>
      <c r="FH132" s="49">
        <f t="shared" si="533"/>
        <v>-178</v>
      </c>
      <c r="FI132" s="49">
        <f t="shared" si="534"/>
        <v>420</v>
      </c>
      <c r="FJ132" s="49">
        <f t="shared" si="535"/>
        <v>23.5</v>
      </c>
    </row>
    <row r="133" spans="1:166" x14ac:dyDescent="0.25">
      <c r="A133" s="102"/>
      <c r="B133" s="50" t="s">
        <v>392</v>
      </c>
      <c r="CU133" s="51">
        <v>136.9</v>
      </c>
      <c r="CV133" s="51">
        <f>161.9-CU133</f>
        <v>25</v>
      </c>
      <c r="CW133" s="51">
        <f>239.6-CV133-CU133</f>
        <v>77.699999999999989</v>
      </c>
      <c r="CX133" s="51">
        <f>239.6-CW133-CV133-CU133</f>
        <v>0</v>
      </c>
      <c r="CY133" s="51">
        <v>52.3</v>
      </c>
      <c r="CZ133" s="51">
        <f>294.1-CY133</f>
        <v>241.8</v>
      </c>
      <c r="DA133" s="51">
        <f>294.1-CZ133-CY133</f>
        <v>0</v>
      </c>
      <c r="DB133" s="51">
        <f>660.4-DA133-CZ133-CY133</f>
        <v>366.29999999999995</v>
      </c>
      <c r="DC133" s="51">
        <v>299.3</v>
      </c>
      <c r="DD133" s="51">
        <f>324.3-DC133</f>
        <v>25</v>
      </c>
      <c r="DE133" s="51">
        <f>498.3-DD133-DC133</f>
        <v>174</v>
      </c>
      <c r="DF133" s="51">
        <f>874.9-DE133-DD133-DC133</f>
        <v>376.59999999999997</v>
      </c>
      <c r="DG133" s="51">
        <v>153</v>
      </c>
      <c r="DH133" s="51">
        <f>233-DG133</f>
        <v>80</v>
      </c>
      <c r="DI133" s="51">
        <f>252-DH133-DG133</f>
        <v>19</v>
      </c>
      <c r="DJ133" s="51">
        <f>420.9-DI133-DH133-DG133</f>
        <v>168.89999999999998</v>
      </c>
      <c r="DK133" s="51">
        <v>105</v>
      </c>
      <c r="DL133" s="51">
        <f>202.1-DK133</f>
        <v>97.1</v>
      </c>
      <c r="DM133" s="51">
        <f>3177.2-DL133-DK133</f>
        <v>2975.1</v>
      </c>
      <c r="DN133" s="51">
        <f>3799.8-DM133-DL133-DK133</f>
        <v>622.60000000000025</v>
      </c>
      <c r="DO133" s="51">
        <v>110.5</v>
      </c>
      <c r="DP133" s="51">
        <f>264.8-DO133</f>
        <v>154.30000000000001</v>
      </c>
      <c r="DQ133" s="51">
        <f>3091.2-DP133-DO133</f>
        <v>2826.3999999999996</v>
      </c>
      <c r="DR133" s="51">
        <f>3280.4-DQ133-DP133-DO133</f>
        <v>189.20000000000044</v>
      </c>
      <c r="DS133" s="51">
        <v>1571.7</v>
      </c>
      <c r="FF133" s="49">
        <f t="shared" si="531"/>
        <v>239.6</v>
      </c>
      <c r="FG133" s="49">
        <f t="shared" si="532"/>
        <v>660.4</v>
      </c>
      <c r="FH133" s="49">
        <f t="shared" si="533"/>
        <v>874.9</v>
      </c>
      <c r="FI133" s="49">
        <f t="shared" si="534"/>
        <v>420.9</v>
      </c>
      <c r="FJ133" s="49">
        <f t="shared" si="535"/>
        <v>3799.8</v>
      </c>
    </row>
    <row r="134" spans="1:166" x14ac:dyDescent="0.25">
      <c r="A134" s="102"/>
      <c r="B134" s="50" t="s">
        <v>78</v>
      </c>
      <c r="CU134" s="51">
        <v>-714.3</v>
      </c>
      <c r="CV134" s="51">
        <f>-1516.4-CU134</f>
        <v>-802.10000000000014</v>
      </c>
      <c r="CW134" s="51">
        <f>-1763.7-CV134-CU134</f>
        <v>-247.29999999999995</v>
      </c>
      <c r="CX134" s="51">
        <f>348.7-CW134-CV134-CU134</f>
        <v>2112.4</v>
      </c>
      <c r="CY134" s="51">
        <v>-74.900000000000006</v>
      </c>
      <c r="CZ134" s="51">
        <f>-481.6-CY134</f>
        <v>-406.70000000000005</v>
      </c>
      <c r="DA134" s="51">
        <f>-232.2-CZ134-CY134</f>
        <v>249.40000000000006</v>
      </c>
      <c r="DB134" s="51">
        <f>333.9-DA134-CZ134-CY134</f>
        <v>566.09999999999991</v>
      </c>
      <c r="DC134" s="51">
        <v>-102.8</v>
      </c>
      <c r="DD134" s="51">
        <f>118.4-DC134</f>
        <v>221.2</v>
      </c>
      <c r="DE134" s="51">
        <f>-548.1-DD134-DC134+405.2</f>
        <v>-261.3</v>
      </c>
      <c r="DF134" s="51">
        <f>511.4-DE134-DD134-DC134+405.2</f>
        <v>1059.5</v>
      </c>
      <c r="DG134" s="51">
        <v>-45.5</v>
      </c>
      <c r="DH134" s="51">
        <f>-117.6-DG134</f>
        <v>-72.099999999999994</v>
      </c>
      <c r="DI134" s="51">
        <f>821.5-DH134-DG134</f>
        <v>939.1</v>
      </c>
      <c r="DJ134" s="51">
        <f>304.8-DI134-DH134-DG134</f>
        <v>-516.69999999999993</v>
      </c>
      <c r="DK134" s="51">
        <v>168.3</v>
      </c>
      <c r="DL134" s="51">
        <f>-382.4-DK134</f>
        <v>-550.70000000000005</v>
      </c>
      <c r="DM134" s="51">
        <f>117.2-DL134-DK134-1853.9</f>
        <v>-1354.3</v>
      </c>
      <c r="DN134" s="51">
        <f>295.5-1878.9-DM134-DL134-DK134</f>
        <v>153.2999999999999</v>
      </c>
      <c r="DO134" s="51">
        <v>298.60000000000002</v>
      </c>
      <c r="DP134" s="51">
        <f>-3150.3-DO134</f>
        <v>-3448.9</v>
      </c>
      <c r="DQ134" s="51">
        <f>234.6-DP134-DO134-100.7</f>
        <v>3284.2000000000003</v>
      </c>
      <c r="DR134" s="51">
        <f>777.4-DQ134-DP134-DO134-223.8</f>
        <v>419.69999999999987</v>
      </c>
      <c r="DS134" s="51">
        <v>-3364.2</v>
      </c>
      <c r="FF134" s="49">
        <f t="shared" si="531"/>
        <v>348.70000000000005</v>
      </c>
      <c r="FG134" s="49">
        <f t="shared" si="532"/>
        <v>333.9</v>
      </c>
      <c r="FH134" s="49">
        <f>SUM(DC134:DF134)</f>
        <v>916.59999999999991</v>
      </c>
      <c r="FI134" s="49">
        <f>SUM(DG134:DJ134)</f>
        <v>304.80000000000007</v>
      </c>
      <c r="FJ134" s="49">
        <f>SUM(DK134:DN134)</f>
        <v>-1583.4</v>
      </c>
    </row>
    <row r="135" spans="1:166" x14ac:dyDescent="0.25">
      <c r="A135" s="102"/>
      <c r="B135" s="50" t="s">
        <v>393</v>
      </c>
      <c r="CU135" s="51">
        <v>-32.299999999999997</v>
      </c>
      <c r="CV135" s="51">
        <f>81.1-CU135</f>
        <v>113.39999999999999</v>
      </c>
      <c r="CW135" s="51">
        <f>155.5-CV135-CU135</f>
        <v>74.400000000000006</v>
      </c>
      <c r="CX135" s="51">
        <f>-127.2-258.7-602.3-221.3-477.7-CW135-CV135-CU135</f>
        <v>-1842.7000000000003</v>
      </c>
      <c r="CY135" s="51">
        <v>-1408.1</v>
      </c>
      <c r="CZ135" s="51">
        <f>308.7-CY135</f>
        <v>1716.8</v>
      </c>
      <c r="DA135" s="51">
        <f>212.2-CZ135-CY135</f>
        <v>-96.5</v>
      </c>
      <c r="DB135" s="51">
        <f>-1350.2-533.4-457.1+322+1271.3-DA135-CZ135-CY135</f>
        <v>-959.59999999999991</v>
      </c>
      <c r="DC135" s="51">
        <v>131.1</v>
      </c>
      <c r="DD135" s="51">
        <f>319.6-DC135</f>
        <v>188.50000000000003</v>
      </c>
      <c r="DE135" s="51">
        <f>504.7-DD135-DC135</f>
        <v>185.09999999999994</v>
      </c>
      <c r="DF135" s="51">
        <f>-1278.3-235.9+1515.4-359.7-664.1-DE135-DD135-DC135</f>
        <v>-1527.2999999999997</v>
      </c>
      <c r="DG135" s="51">
        <v>32.6</v>
      </c>
      <c r="DH135" s="51">
        <f>-49.2-DG135</f>
        <v>-81.800000000000011</v>
      </c>
      <c r="DI135" s="51">
        <f>217.9-DH135-DG135</f>
        <v>267.10000000000002</v>
      </c>
      <c r="DJ135" s="51">
        <f>-299.6-599.7-793.5+346.6+1331.7-DI135-DH135-DG135</f>
        <v>-232.40000000000023</v>
      </c>
      <c r="DK135" s="51">
        <v>164.1</v>
      </c>
      <c r="DL135" s="51">
        <f>-676.1-DK135</f>
        <v>-840.2</v>
      </c>
      <c r="DM135" s="51">
        <f>103.2-DL135-DK135</f>
        <v>779.30000000000007</v>
      </c>
      <c r="DN135" s="51">
        <f>-2451-1425-3453.4+4274.4-DM135-DL135-DK135</f>
        <v>-3158.2000000000003</v>
      </c>
      <c r="DO135" s="51">
        <v>-1751.2</v>
      </c>
      <c r="DP135" s="51">
        <f>266.7-DO135</f>
        <v>2017.9</v>
      </c>
      <c r="DQ135" s="51">
        <f>-3160.1-DP135-DO135</f>
        <v>-3426.8</v>
      </c>
      <c r="DR135" s="51">
        <f>-2155.2-2507.4-3331.2+2608.8-DQ135-DP135-DO135</f>
        <v>-2224.8999999999996</v>
      </c>
      <c r="DS135" s="51">
        <v>324.8</v>
      </c>
      <c r="FF135" s="49">
        <f t="shared" si="531"/>
        <v>-1687.2000000000003</v>
      </c>
      <c r="FG135" s="49">
        <f t="shared" si="532"/>
        <v>-747.39999999999986</v>
      </c>
      <c r="FH135" s="49">
        <f>SUM(DC135:DF135)</f>
        <v>-1022.5999999999998</v>
      </c>
      <c r="FI135" s="49">
        <f>SUM(DG135:DJ135)</f>
        <v>-14.500000000000227</v>
      </c>
      <c r="FJ135" s="49">
        <f>SUM(DK135:DN135)</f>
        <v>-3055</v>
      </c>
    </row>
    <row r="136" spans="1:166" s="49" customFormat="1" x14ac:dyDescent="0.25">
      <c r="B136" s="50" t="s">
        <v>302</v>
      </c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>
        <v>1176.0999999999999</v>
      </c>
      <c r="BP136" s="51">
        <f>3216.4-BO136</f>
        <v>2040.3000000000002</v>
      </c>
      <c r="BQ136" s="51">
        <f>5289.8-BP136-BO136</f>
        <v>2073.4</v>
      </c>
      <c r="BR136" s="52">
        <f>7234.5-BQ136-BP136-BO136</f>
        <v>1944.7000000000003</v>
      </c>
      <c r="BS136" s="52">
        <v>852.5</v>
      </c>
      <c r="BT136" s="52">
        <f>2158.5-BS136</f>
        <v>1306</v>
      </c>
      <c r="BU136" s="51">
        <f>3702.8-BT136-BS136</f>
        <v>1544.3000000000002</v>
      </c>
      <c r="BV136" s="51"/>
      <c r="BW136" s="51"/>
      <c r="BX136" s="51"/>
      <c r="BY136" s="51"/>
      <c r="BZ136" s="51"/>
      <c r="CA136" s="51"/>
      <c r="CB136" s="51"/>
      <c r="CC136" s="51"/>
      <c r="CD136" s="51"/>
      <c r="CE136" s="51"/>
      <c r="CF136" s="51"/>
      <c r="CG136" s="51"/>
      <c r="CH136" s="51"/>
      <c r="CI136" s="51"/>
      <c r="CJ136" s="51"/>
      <c r="CK136" s="51"/>
      <c r="CL136" s="51"/>
      <c r="CM136" s="51"/>
      <c r="CN136" s="51"/>
      <c r="CO136" s="51"/>
      <c r="CP136" s="51"/>
      <c r="CQ136" s="51"/>
      <c r="CR136" s="51"/>
      <c r="CS136" s="51"/>
      <c r="CT136" s="51"/>
      <c r="CU136" s="51">
        <f t="shared" ref="CU136:CX136" si="536">SUM(CU128:CU135)</f>
        <v>311.30000000000103</v>
      </c>
      <c r="CV136" s="51">
        <f t="shared" si="536"/>
        <v>1051.4999999999998</v>
      </c>
      <c r="CW136" s="51">
        <f t="shared" si="536"/>
        <v>1510.1</v>
      </c>
      <c r="CX136" s="51">
        <f t="shared" si="536"/>
        <v>1963.6999999999994</v>
      </c>
      <c r="CY136" s="51">
        <f>SUM(CY128:CY135)</f>
        <v>382.39999999999986</v>
      </c>
      <c r="CZ136" s="51">
        <f t="shared" ref="CZ136:DB136" si="537">SUM(CZ128:CZ135)</f>
        <v>2495.3999999999996</v>
      </c>
      <c r="DA136" s="51">
        <f t="shared" si="537"/>
        <v>1806.6000000000004</v>
      </c>
      <c r="DB136" s="51">
        <f t="shared" si="537"/>
        <v>1815.1999999999998</v>
      </c>
      <c r="DC136" s="51">
        <f t="shared" ref="DC136:DP136" si="538">SUM(DC128:DC135)</f>
        <v>1697.3999999999999</v>
      </c>
      <c r="DD136" s="51">
        <f t="shared" si="538"/>
        <v>1775.5</v>
      </c>
      <c r="DE136" s="51">
        <f t="shared" si="538"/>
        <v>1631.3</v>
      </c>
      <c r="DF136" s="51">
        <f t="shared" si="538"/>
        <v>2156.5000000000005</v>
      </c>
      <c r="DG136" s="51">
        <f t="shared" si="538"/>
        <v>2499.1999999999998</v>
      </c>
      <c r="DH136" s="51">
        <f t="shared" si="538"/>
        <v>820.7</v>
      </c>
      <c r="DI136" s="51">
        <f t="shared" si="538"/>
        <v>2185.1000000000004</v>
      </c>
      <c r="DJ136" s="51">
        <f t="shared" si="538"/>
        <v>1579.4000000000003</v>
      </c>
      <c r="DK136" s="52">
        <f t="shared" si="538"/>
        <v>1730.6000000000001</v>
      </c>
      <c r="DL136" s="52">
        <f t="shared" si="538"/>
        <v>631.89999999999986</v>
      </c>
      <c r="DM136" s="52">
        <f t="shared" si="538"/>
        <v>2189.5</v>
      </c>
      <c r="DN136" s="52">
        <f t="shared" si="538"/>
        <v>-311.90000000000146</v>
      </c>
      <c r="DO136" s="51">
        <f t="shared" si="538"/>
        <v>1165.9999999999998</v>
      </c>
      <c r="DP136" s="51">
        <f t="shared" si="538"/>
        <v>1466.1999999999998</v>
      </c>
      <c r="DQ136" s="51">
        <f>SUM(DQ128:DQ135)</f>
        <v>3711.8999999999996</v>
      </c>
      <c r="DR136" s="51">
        <f>SUM(DR128:DR135)</f>
        <v>2473.800000000002</v>
      </c>
      <c r="DS136" s="51">
        <f>SUM(DS128:DS135)</f>
        <v>1665.6000000000001</v>
      </c>
      <c r="DT136" s="51"/>
      <c r="DU136" s="51"/>
      <c r="DV136" s="51"/>
      <c r="EN136" s="51"/>
      <c r="EO136" s="51"/>
      <c r="EP136" s="51"/>
      <c r="EQ136" s="51"/>
      <c r="ER136" s="51"/>
      <c r="ES136" s="51"/>
      <c r="ET136" s="51"/>
      <c r="EU136" s="51">
        <v>7295.6</v>
      </c>
      <c r="EV136" s="51">
        <v>4335.5</v>
      </c>
      <c r="EW136" s="51">
        <v>6856.8</v>
      </c>
      <c r="EX136" s="51"/>
      <c r="EY136" s="51"/>
      <c r="EZ136" s="51"/>
      <c r="FA136" s="51"/>
      <c r="FB136" s="51"/>
      <c r="FC136" s="51"/>
      <c r="FD136" s="51"/>
      <c r="FF136" s="49">
        <f>SUM(DG136:DJ136)</f>
        <v>7084.4000000000005</v>
      </c>
      <c r="FG136" s="49">
        <f>SUM(DH136:DK136)</f>
        <v>6315.8000000000011</v>
      </c>
      <c r="FH136" s="49">
        <f>SUM(DI136:DL136)</f>
        <v>6127.0000000000009</v>
      </c>
      <c r="FI136" s="49">
        <f>SUM(DJ136:DM136)</f>
        <v>6131.4000000000005</v>
      </c>
      <c r="FJ136" s="49">
        <f>SUM(DK136:DN136)</f>
        <v>4240.0999999999985</v>
      </c>
    </row>
    <row r="137" spans="1:166" x14ac:dyDescent="0.25">
      <c r="DC137" s="51"/>
      <c r="DD137" s="51"/>
      <c r="DJ137" s="51"/>
      <c r="DQ137" s="51"/>
      <c r="FG137" s="49"/>
      <c r="FH137" s="49"/>
      <c r="FI137" s="49"/>
    </row>
    <row r="138" spans="1:166" s="49" customFormat="1" x14ac:dyDescent="0.25">
      <c r="B138" s="50" t="s">
        <v>394</v>
      </c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51"/>
      <c r="BW138" s="51"/>
      <c r="BX138" s="51"/>
      <c r="BY138" s="51"/>
      <c r="BZ138" s="51"/>
      <c r="CA138" s="51"/>
      <c r="CB138" s="51"/>
      <c r="CC138" s="51"/>
      <c r="CD138" s="51"/>
      <c r="CE138" s="51"/>
      <c r="CF138" s="51"/>
      <c r="CG138" s="51"/>
      <c r="CH138" s="51"/>
      <c r="CI138" s="51"/>
      <c r="CJ138" s="51"/>
      <c r="CK138" s="51"/>
      <c r="CL138" s="51"/>
      <c r="CM138" s="51"/>
      <c r="CN138" s="51"/>
      <c r="CO138" s="51"/>
      <c r="CP138" s="51"/>
      <c r="CQ138" s="51"/>
      <c r="CR138" s="51"/>
      <c r="CS138" s="51"/>
      <c r="CT138" s="51"/>
      <c r="CU138" s="51">
        <v>-203.7</v>
      </c>
      <c r="CV138" s="51">
        <f>-444-CU138</f>
        <v>-240.3</v>
      </c>
      <c r="CW138" s="51">
        <f>-707.4-CV138-CU138</f>
        <v>-263.39999999999998</v>
      </c>
      <c r="CX138" s="51">
        <f>-1033.9-CW138-CV138-CU138</f>
        <v>-326.50000000000006</v>
      </c>
      <c r="CY138" s="51">
        <v>-258.3</v>
      </c>
      <c r="CZ138" s="51">
        <f>-540.1-CY138</f>
        <v>-281.8</v>
      </c>
      <c r="DA138" s="51">
        <f>-933.2-CZ138-CY138</f>
        <v>-393.10000000000008</v>
      </c>
      <c r="DB138" s="51">
        <f>-1387.9-DA138-CZ138-CY138</f>
        <v>-454.7</v>
      </c>
      <c r="DC138" s="51">
        <v>-300.3</v>
      </c>
      <c r="DD138" s="51">
        <f>-681.6-DC138</f>
        <v>-381.3</v>
      </c>
      <c r="DE138" s="51">
        <f>-1018.4-DD138-DC138</f>
        <v>-336.7999999999999</v>
      </c>
      <c r="DF138" s="51">
        <f>-1309.8-DE138-DD138-DC138</f>
        <v>-291.40000000000003</v>
      </c>
      <c r="DG138" s="51">
        <v>-365.4</v>
      </c>
      <c r="DH138" s="51">
        <f>-736.4-DG138</f>
        <v>-371</v>
      </c>
      <c r="DI138" s="51">
        <f>-1353.6-DH138-DG138</f>
        <v>-617.19999999999993</v>
      </c>
      <c r="DJ138" s="51">
        <f>-1854.3-DI138-DH138-DG138</f>
        <v>-500.69999999999993</v>
      </c>
      <c r="DK138" s="51">
        <v>-668.5</v>
      </c>
      <c r="DL138" s="51">
        <f>-1406.7-DK138</f>
        <v>-738.2</v>
      </c>
      <c r="DM138" s="51">
        <f>-2377-DL138-DK138</f>
        <v>-970.3</v>
      </c>
      <c r="DN138" s="51">
        <f>-3447.6-DM138-DL138-DK138</f>
        <v>-1070.6000000000001</v>
      </c>
      <c r="DO138" s="51">
        <v>-986.3</v>
      </c>
      <c r="DP138" s="51">
        <f>-2211.1-DO138</f>
        <v>-1224.8</v>
      </c>
      <c r="DQ138" s="51">
        <f>-3561.8-DP138-DO138</f>
        <v>-1350.7</v>
      </c>
      <c r="DR138" s="51">
        <f>-5057.8-DQ138-DP138-DO138</f>
        <v>-1496.0000000000002</v>
      </c>
      <c r="DS138" s="51">
        <v>-1509.5</v>
      </c>
      <c r="DT138" s="51"/>
      <c r="DU138" s="51"/>
      <c r="DV138" s="51"/>
      <c r="EN138" s="51"/>
      <c r="EO138" s="51"/>
      <c r="EP138" s="51"/>
      <c r="EQ138" s="51"/>
      <c r="ER138" s="51"/>
      <c r="ES138" s="51"/>
      <c r="ET138" s="51"/>
      <c r="EU138" s="51"/>
      <c r="EV138" s="51"/>
      <c r="EW138" s="51"/>
      <c r="EX138" s="51"/>
      <c r="EY138" s="51"/>
      <c r="EZ138" s="51"/>
      <c r="FA138" s="51"/>
      <c r="FB138" s="51"/>
      <c r="FC138" s="51"/>
      <c r="FD138" s="51"/>
      <c r="FF138" s="49">
        <f t="shared" ref="FF138:FF141" si="539">SUM(CU138:CX138)</f>
        <v>-1033.9000000000001</v>
      </c>
      <c r="FG138" s="49">
        <f t="shared" ref="FG138:FG141" si="540">SUM(CY138:DB138)</f>
        <v>-1387.9</v>
      </c>
      <c r="FH138" s="49">
        <f>SUM(DC138:DF138)</f>
        <v>-1309.8</v>
      </c>
      <c r="FI138" s="49">
        <f>SUM(DG138:DJ138)</f>
        <v>-1854.2999999999997</v>
      </c>
      <c r="FJ138" s="49">
        <f>SUM(DK138:DN138)</f>
        <v>-3447.6000000000004</v>
      </c>
    </row>
    <row r="139" spans="1:166" s="49" customFormat="1" x14ac:dyDescent="0.25">
      <c r="B139" s="50" t="s">
        <v>391</v>
      </c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51"/>
      <c r="BW139" s="51"/>
      <c r="BX139" s="51"/>
      <c r="BY139" s="51"/>
      <c r="BZ139" s="51"/>
      <c r="CA139" s="51"/>
      <c r="CB139" s="51"/>
      <c r="CC139" s="51"/>
      <c r="CD139" s="51"/>
      <c r="CE139" s="51"/>
      <c r="CF139" s="51"/>
      <c r="CG139" s="51"/>
      <c r="CH139" s="51"/>
      <c r="CI139" s="51"/>
      <c r="CJ139" s="51"/>
      <c r="CK139" s="51"/>
      <c r="CL139" s="51"/>
      <c r="CM139" s="51"/>
      <c r="CN139" s="51"/>
      <c r="CO139" s="51"/>
      <c r="CP139" s="51"/>
      <c r="CQ139" s="51"/>
      <c r="CR139" s="51"/>
      <c r="CS139" s="51"/>
      <c r="CT139" s="51"/>
      <c r="CU139" s="51">
        <f>35.9-33.7+83.6-60.6</f>
        <v>25.199999999999982</v>
      </c>
      <c r="CV139" s="51">
        <f>89.4-34.1+416.4-146.6-CU139</f>
        <v>299.90000000000003</v>
      </c>
      <c r="CW139" s="51">
        <f>116.3-34.1+498.4-196.7-CV139-CU139</f>
        <v>58.799999999999905</v>
      </c>
      <c r="CX139" s="51">
        <f>136.6-42.7+609.8-247.5-CW139-CV139-CU139</f>
        <v>72.300000000000011</v>
      </c>
      <c r="CY139" s="51">
        <f>36.8+54.5-83</f>
        <v>8.2999999999999972</v>
      </c>
      <c r="CZ139" s="51">
        <f>111.2+412-154.8-CY139</f>
        <v>360.1</v>
      </c>
      <c r="DA139" s="51">
        <f>118.8-11.4+574.1-223.7-CZ139-CY139</f>
        <v>89.399999999999991</v>
      </c>
      <c r="DB139" s="51">
        <f>129.7-11.4+757.1-358.7-DA139-CZ139-CY139</f>
        <v>58.900000000000048</v>
      </c>
      <c r="DC139" s="51">
        <f>4-19.4+284.8-291.5</f>
        <v>-22.099999999999966</v>
      </c>
      <c r="DD139" s="51">
        <f>21.3-26.6+461.9-503.1-DC139</f>
        <v>-24.400000000000091</v>
      </c>
      <c r="DE139" s="51">
        <f>46.6-27.9+537.2-710.1-DD139-DC139</f>
        <v>-107.69999999999987</v>
      </c>
      <c r="DF139" s="51">
        <f>47.4-83.5+800-929.9-DE139-DD139-DC139</f>
        <v>-11.800000000000068</v>
      </c>
      <c r="DG139" s="51">
        <f>26.7-14.6+81.4-116.7</f>
        <v>-23.200000000000003</v>
      </c>
      <c r="DH139" s="51">
        <f>57.6-32.9+168.5-251.4-DG139</f>
        <v>-35.000000000000014</v>
      </c>
      <c r="DI139" s="51">
        <f>83.1-65+251.6-474.1-DH139-DG139</f>
        <v>-146.20000000000005</v>
      </c>
      <c r="DJ139" s="51">
        <f>121.4-107.4+342.2-600.2-DI139-DH139-DG139</f>
        <v>-39.599999999999994</v>
      </c>
      <c r="DK139" s="51">
        <f>61.5-23+281.9-146</f>
        <v>174.39999999999998</v>
      </c>
      <c r="DL139" s="51">
        <f>109.6-59.8+388.4-343.4-DK139</f>
        <v>-79.599999999999966</v>
      </c>
      <c r="DM139" s="51">
        <f>155.2-79.2+476.2-474.8-DL139-DK139</f>
        <v>-17.400000000000091</v>
      </c>
      <c r="DN139" s="51">
        <f>192.2-98.2+508.1-730.8-DM139-DL139-DK139</f>
        <v>-206.09999999999985</v>
      </c>
      <c r="DO139" s="51">
        <f>41.4-24.4+70.5-117.1</f>
        <v>-29.599999999999994</v>
      </c>
      <c r="DP139" s="51">
        <f>75.4-48.8-DO139</f>
        <v>56.2</v>
      </c>
      <c r="DQ139" s="51">
        <f>107.3-68.6+318-525.1-DP139-DO139</f>
        <v>-195.00000000000003</v>
      </c>
      <c r="DR139" s="51">
        <f>148.9-98.5+373.6-677.3-DQ139-DP139-DO139</f>
        <v>-84.899999999999935</v>
      </c>
      <c r="DS139" s="51">
        <f>71.6-196.7</f>
        <v>-125.1</v>
      </c>
      <c r="DT139" s="51"/>
      <c r="DU139" s="51"/>
      <c r="DV139" s="51"/>
      <c r="EN139" s="51"/>
      <c r="EO139" s="51"/>
      <c r="EP139" s="51"/>
      <c r="EQ139" s="51"/>
      <c r="ER139" s="51"/>
      <c r="ES139" s="51"/>
      <c r="ET139" s="51"/>
      <c r="EU139" s="51"/>
      <c r="EV139" s="51"/>
      <c r="EW139" s="51"/>
      <c r="EX139" s="51"/>
      <c r="EY139" s="51"/>
      <c r="EZ139" s="51"/>
      <c r="FA139" s="51"/>
      <c r="FB139" s="51"/>
      <c r="FC139" s="51"/>
      <c r="FD139" s="51"/>
      <c r="FF139" s="49">
        <f t="shared" si="539"/>
        <v>456.19999999999993</v>
      </c>
      <c r="FG139" s="49">
        <f t="shared" si="540"/>
        <v>516.70000000000005</v>
      </c>
      <c r="FH139" s="49">
        <f>SUM(DC139:DF139)</f>
        <v>-166</v>
      </c>
      <c r="FI139" s="49">
        <f>SUM(DG139:DJ139)</f>
        <v>-244.00000000000006</v>
      </c>
      <c r="FJ139" s="49">
        <f>SUM(DK139:DN139)</f>
        <v>-128.69999999999993</v>
      </c>
    </row>
    <row r="140" spans="1:166" s="49" customFormat="1" x14ac:dyDescent="0.25">
      <c r="B140" s="50" t="s">
        <v>395</v>
      </c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1"/>
      <c r="BT140" s="51"/>
      <c r="BU140" s="51"/>
      <c r="BV140" s="51"/>
      <c r="BW140" s="51"/>
      <c r="BX140" s="51"/>
      <c r="BY140" s="51"/>
      <c r="BZ140" s="51"/>
      <c r="CA140" s="51"/>
      <c r="CB140" s="51"/>
      <c r="CC140" s="51"/>
      <c r="CD140" s="51"/>
      <c r="CE140" s="51"/>
      <c r="CF140" s="51"/>
      <c r="CG140" s="51"/>
      <c r="CH140" s="51"/>
      <c r="CI140" s="51"/>
      <c r="CJ140" s="51"/>
      <c r="CK140" s="51"/>
      <c r="CL140" s="51"/>
      <c r="CM140" s="51"/>
      <c r="CN140" s="51"/>
      <c r="CO140" s="51"/>
      <c r="CP140" s="51"/>
      <c r="CQ140" s="51"/>
      <c r="CR140" s="51"/>
      <c r="CS140" s="51"/>
      <c r="CT140" s="51"/>
      <c r="CU140" s="51">
        <f>-6917.7-196.9</f>
        <v>-7114.5999999999995</v>
      </c>
      <c r="CV140" s="51">
        <f>-6917.7-CU140-241.9</f>
        <v>-45.000000000000369</v>
      </c>
      <c r="CW140" s="51">
        <f>-6917.7-CV140-CU140-319.6</f>
        <v>-77.700000000000387</v>
      </c>
      <c r="CX140" s="51">
        <f>-6917.7-374+354.8-CW140-CV140-CU140-319.6</f>
        <v>-19.199999999999477</v>
      </c>
      <c r="CY140" s="51">
        <f>-849.3-13</f>
        <v>-862.3</v>
      </c>
      <c r="CZ140" s="51">
        <f>-849.3-CY140-254.4</f>
        <v>-241.4</v>
      </c>
      <c r="DA140" s="51">
        <f>-849.3-CZ140-CY140-276.4</f>
        <v>-22</v>
      </c>
      <c r="DB140" s="51">
        <f>-641.2-849.3-DA140-CZ140-CY140</f>
        <v>-364.79999999999995</v>
      </c>
      <c r="DC140" s="51">
        <f>-747.4-191.8</f>
        <v>-939.2</v>
      </c>
      <c r="DD140" s="51">
        <f>-747.4-341.8-DC140</f>
        <v>-150</v>
      </c>
      <c r="DE140" s="51">
        <f>-747.4-DD140-DC140-460.6</f>
        <v>-118.79999999999995</v>
      </c>
      <c r="DF140" s="51">
        <f>-563.4-DE140-DD140-DC140-747.4</f>
        <v>-102.79999999999995</v>
      </c>
      <c r="DG140" s="51">
        <v>-491.8</v>
      </c>
      <c r="DH140" s="51">
        <f>-571.8-DG140</f>
        <v>-79.999999999999943</v>
      </c>
      <c r="DI140" s="51">
        <f>-574.8-DH140-DG140</f>
        <v>-3</v>
      </c>
      <c r="DJ140" s="51">
        <f>-629.7-327.2-DI140-DH140-DG140</f>
        <v>-382.10000000000008</v>
      </c>
      <c r="DK140" s="51">
        <v>-235</v>
      </c>
      <c r="DL140" s="51">
        <f>-333.1-DK140</f>
        <v>-98.100000000000023</v>
      </c>
      <c r="DM140" s="51">
        <f>1604.3-3364-DL140-DK140</f>
        <v>-1426.6</v>
      </c>
      <c r="DN140" s="51">
        <f>-3944.5-DM140-DL140-DK140-1044.3</f>
        <v>-3229.1000000000004</v>
      </c>
      <c r="DO140" s="51">
        <v>-96.5</v>
      </c>
      <c r="DP140" s="51">
        <f>-947.7-DO140-274.5</f>
        <v>-1125.7</v>
      </c>
      <c r="DQ140" s="51">
        <f>530.9-947.7-3094.6-DP140-DO140</f>
        <v>-2289.1999999999998</v>
      </c>
      <c r="DR140" s="51">
        <f>-3345.8+601.3-DQ140-DP140-DO140-947.7</f>
        <v>-180.80000000000018</v>
      </c>
      <c r="DS140" s="51">
        <v>-1757</v>
      </c>
      <c r="DT140" s="51"/>
      <c r="DU140" s="51"/>
      <c r="DV140" s="51"/>
      <c r="EN140" s="51"/>
      <c r="EO140" s="51"/>
      <c r="EP140" s="51"/>
      <c r="EQ140" s="51"/>
      <c r="ER140" s="51"/>
      <c r="ES140" s="51"/>
      <c r="ET140" s="51"/>
      <c r="EU140" s="51"/>
      <c r="EV140" s="51"/>
      <c r="EW140" s="51"/>
      <c r="EX140" s="51"/>
      <c r="EY140" s="51"/>
      <c r="EZ140" s="51"/>
      <c r="FA140" s="51"/>
      <c r="FB140" s="51"/>
      <c r="FC140" s="51"/>
      <c r="FD140" s="51"/>
      <c r="FF140" s="49">
        <f t="shared" si="539"/>
        <v>-7256.5</v>
      </c>
      <c r="FG140" s="49">
        <f t="shared" si="540"/>
        <v>-1490.5</v>
      </c>
      <c r="FH140" s="49">
        <f>SUM(DC140:DF140)</f>
        <v>-1310.8</v>
      </c>
      <c r="FI140" s="49">
        <f>SUM(DG140:DJ140)</f>
        <v>-956.90000000000009</v>
      </c>
      <c r="FJ140" s="49">
        <f>SUM(DK140:DN140)</f>
        <v>-4988.8</v>
      </c>
    </row>
    <row r="141" spans="1:166" s="49" customFormat="1" x14ac:dyDescent="0.25">
      <c r="B141" s="50" t="s">
        <v>78</v>
      </c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51"/>
      <c r="BW141" s="51"/>
      <c r="BX141" s="51"/>
      <c r="BY141" s="51"/>
      <c r="BZ141" s="51"/>
      <c r="CA141" s="51"/>
      <c r="CB141" s="51"/>
      <c r="CC141" s="51"/>
      <c r="CD141" s="51"/>
      <c r="CE141" s="51"/>
      <c r="CF141" s="51"/>
      <c r="CG141" s="51"/>
      <c r="CH141" s="51"/>
      <c r="CI141" s="51"/>
      <c r="CJ141" s="51"/>
      <c r="CK141" s="51"/>
      <c r="CL141" s="51"/>
      <c r="CM141" s="51"/>
      <c r="CN141" s="51"/>
      <c r="CO141" s="51"/>
      <c r="CP141" s="51"/>
      <c r="CQ141" s="51"/>
      <c r="CR141" s="51"/>
      <c r="CS141" s="51"/>
      <c r="CT141" s="51"/>
      <c r="CU141" s="51">
        <v>-385.6</v>
      </c>
      <c r="CV141" s="51">
        <f>-339.2-CU141</f>
        <v>46.400000000000034</v>
      </c>
      <c r="CW141" s="51">
        <f>-480.7-CV141-CU141</f>
        <v>-141.5</v>
      </c>
      <c r="CX141" s="51">
        <f>-248.7-CW141-CV141-CU141</f>
        <v>232</v>
      </c>
      <c r="CY141" s="51">
        <v>51.4</v>
      </c>
      <c r="CZ141" s="51">
        <f>4.1-CY141</f>
        <v>-47.3</v>
      </c>
      <c r="DA141" s="51">
        <f>16.3-CZ141-CY141</f>
        <v>12.199999999999996</v>
      </c>
      <c r="DB141" s="51">
        <f>102.8-DA141-CZ141-CY141</f>
        <v>86.499999999999972</v>
      </c>
      <c r="DC141" s="51">
        <v>-21.9</v>
      </c>
      <c r="DD141" s="51">
        <f>50.5-DC141</f>
        <v>72.400000000000006</v>
      </c>
      <c r="DE141" s="51">
        <f>-2.7-DD141-DC141</f>
        <v>-53.20000000000001</v>
      </c>
      <c r="DF141" s="51">
        <f>24.3-DE141-DD141-DC141</f>
        <v>27.000000000000007</v>
      </c>
      <c r="DG141" s="51">
        <v>-133.4</v>
      </c>
      <c r="DH141" s="51">
        <f>-111.3-DG141</f>
        <v>22.100000000000009</v>
      </c>
      <c r="DI141" s="51">
        <f>-268.3-DH141-DG141</f>
        <v>-157.00000000000003</v>
      </c>
      <c r="DJ141" s="51">
        <f>-206.4-DI141-DH141-DG141</f>
        <v>61.90000000000002</v>
      </c>
      <c r="DK141" s="51">
        <v>40.299999999999997</v>
      </c>
      <c r="DL141" s="51">
        <f>497.1-DK141</f>
        <v>456.8</v>
      </c>
      <c r="DM141" s="51">
        <f>-169.1-DL141-DK141</f>
        <v>-666.19999999999993</v>
      </c>
      <c r="DN141" s="51">
        <f>-191.9+1604.3-DM141-DL141-DK141</f>
        <v>1581.5</v>
      </c>
      <c r="DO141" s="51">
        <v>-65.2</v>
      </c>
      <c r="DP141" s="51">
        <f>30.4-DO141</f>
        <v>95.6</v>
      </c>
      <c r="DQ141" s="51">
        <f>-139.4-DP141-DO141</f>
        <v>-169.8</v>
      </c>
      <c r="DR141" s="51">
        <f>-298.2-DQ141-DP141-DO141</f>
        <v>-158.79999999999995</v>
      </c>
      <c r="DS141" s="51">
        <v>39.299999999999997</v>
      </c>
      <c r="DT141" s="51"/>
      <c r="DU141" s="51"/>
      <c r="DV141" s="51"/>
      <c r="EN141" s="51"/>
      <c r="EO141" s="51"/>
      <c r="EP141" s="51"/>
      <c r="EQ141" s="51"/>
      <c r="ER141" s="51"/>
      <c r="ES141" s="51"/>
      <c r="ET141" s="51"/>
      <c r="EU141" s="51"/>
      <c r="EV141" s="51"/>
      <c r="EW141" s="51"/>
      <c r="EX141" s="51"/>
      <c r="EY141" s="51"/>
      <c r="EZ141" s="51"/>
      <c r="FA141" s="51"/>
      <c r="FB141" s="51"/>
      <c r="FC141" s="51"/>
      <c r="FD141" s="51"/>
      <c r="FF141" s="49">
        <f t="shared" si="539"/>
        <v>-248.7</v>
      </c>
      <c r="FG141" s="49">
        <f t="shared" si="540"/>
        <v>102.79999999999997</v>
      </c>
      <c r="FH141" s="49">
        <f>SUM(DC141:DF141)</f>
        <v>24.300000000000004</v>
      </c>
      <c r="FI141" s="49">
        <f>SUM(DG141:DJ141)</f>
        <v>-206.39999999999998</v>
      </c>
      <c r="FJ141" s="49">
        <f>SUM(DK141:DN141)</f>
        <v>1412.4</v>
      </c>
    </row>
    <row r="142" spans="1:166" s="49" customFormat="1" x14ac:dyDescent="0.25">
      <c r="B142" s="50" t="s">
        <v>396</v>
      </c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  <c r="CL142" s="51"/>
      <c r="CM142" s="51"/>
      <c r="CN142" s="51"/>
      <c r="CO142" s="51"/>
      <c r="CP142" s="51"/>
      <c r="CQ142" s="51"/>
      <c r="CR142" s="51"/>
      <c r="CS142" s="51"/>
      <c r="CT142" s="51"/>
      <c r="CU142" s="51">
        <f>SUM(CU138:CU141)</f>
        <v>-7678.7</v>
      </c>
      <c r="CV142" s="51">
        <f>SUM(CV138:CV141)</f>
        <v>60.999999999999687</v>
      </c>
      <c r="CW142" s="51">
        <f>SUM(CW138:CW141)</f>
        <v>-423.80000000000047</v>
      </c>
      <c r="CX142" s="51">
        <f t="shared" ref="CX142" si="541">SUM(CX138:CX141)</f>
        <v>-41.399999999999523</v>
      </c>
      <c r="CY142" s="51">
        <f t="shared" ref="CY142:DB142" si="542">SUM(CY138:CY141)</f>
        <v>-1060.8999999999999</v>
      </c>
      <c r="CZ142" s="51">
        <f t="shared" si="542"/>
        <v>-210.39999999999998</v>
      </c>
      <c r="DA142" s="51">
        <f t="shared" si="542"/>
        <v>-313.50000000000011</v>
      </c>
      <c r="DB142" s="51">
        <f t="shared" si="542"/>
        <v>-674.09999999999991</v>
      </c>
      <c r="DC142" s="51">
        <f t="shared" ref="DC142:DS142" si="543">SUM(DC138:DC141)</f>
        <v>-1283.5</v>
      </c>
      <c r="DD142" s="51">
        <f t="shared" si="543"/>
        <v>-483.30000000000007</v>
      </c>
      <c r="DE142" s="51">
        <f t="shared" si="543"/>
        <v>-616.49999999999977</v>
      </c>
      <c r="DF142" s="51">
        <f t="shared" si="543"/>
        <v>-379.00000000000006</v>
      </c>
      <c r="DG142" s="51">
        <f t="shared" si="543"/>
        <v>-1013.8</v>
      </c>
      <c r="DH142" s="51">
        <f t="shared" si="543"/>
        <v>-463.89999999999992</v>
      </c>
      <c r="DI142" s="51">
        <f t="shared" si="543"/>
        <v>-923.4</v>
      </c>
      <c r="DJ142" s="51">
        <f t="shared" si="543"/>
        <v>-860.50000000000011</v>
      </c>
      <c r="DK142" s="51">
        <f t="shared" si="543"/>
        <v>-688.80000000000007</v>
      </c>
      <c r="DL142" s="51">
        <f t="shared" si="543"/>
        <v>-459.09999999999997</v>
      </c>
      <c r="DM142" s="51">
        <f t="shared" si="543"/>
        <v>-3080.5</v>
      </c>
      <c r="DN142" s="51">
        <f t="shared" si="543"/>
        <v>-2924.3</v>
      </c>
      <c r="DO142" s="51">
        <f t="shared" si="543"/>
        <v>-1177.6000000000001</v>
      </c>
      <c r="DP142" s="51">
        <f t="shared" si="543"/>
        <v>-2198.7000000000003</v>
      </c>
      <c r="DQ142" s="51">
        <f t="shared" si="543"/>
        <v>-4004.7</v>
      </c>
      <c r="DR142" s="51">
        <f t="shared" si="543"/>
        <v>-1920.5000000000002</v>
      </c>
      <c r="DS142" s="51">
        <f t="shared" si="543"/>
        <v>-3352.2999999999997</v>
      </c>
      <c r="DT142" s="51"/>
      <c r="DU142" s="51"/>
      <c r="DV142" s="51"/>
      <c r="EN142" s="51"/>
      <c r="EO142" s="51"/>
      <c r="EP142" s="51"/>
      <c r="EQ142" s="51"/>
      <c r="ER142" s="51"/>
      <c r="ES142" s="51"/>
      <c r="ET142" s="51"/>
      <c r="EU142" s="51"/>
      <c r="EV142" s="51"/>
      <c r="EW142" s="51"/>
      <c r="EX142" s="51"/>
      <c r="EY142" s="51"/>
      <c r="EZ142" s="51"/>
      <c r="FA142" s="51"/>
      <c r="FB142" s="51"/>
      <c r="FC142" s="51"/>
      <c r="FD142" s="51"/>
      <c r="FF142" s="49">
        <f>SUM(DG142:DJ142)</f>
        <v>-3261.6</v>
      </c>
      <c r="FG142" s="49">
        <f>SUM(DH142:DK142)</f>
        <v>-2936.6000000000004</v>
      </c>
      <c r="FH142" s="49">
        <f t="shared" ref="FH142" si="544">SUM(DI142:DL142)</f>
        <v>-2931.8</v>
      </c>
      <c r="FI142" s="49">
        <f t="shared" ref="FI142" si="545">SUM(DJ142:DM142)</f>
        <v>-5088.8999999999996</v>
      </c>
      <c r="FJ142" s="49">
        <f t="shared" ref="FJ142:FJ148" si="546">SUM(DK142:DN142)</f>
        <v>-7152.7</v>
      </c>
    </row>
    <row r="143" spans="1:166" x14ac:dyDescent="0.25">
      <c r="CW143" s="51"/>
      <c r="DC143" s="51"/>
      <c r="DD143" s="51"/>
      <c r="DJ143" s="51"/>
      <c r="DQ143" s="51"/>
      <c r="FG143" s="49"/>
      <c r="FH143" s="49"/>
      <c r="FI143" s="49"/>
    </row>
    <row r="144" spans="1:166" s="49" customFormat="1" x14ac:dyDescent="0.25">
      <c r="B144" s="50" t="s">
        <v>296</v>
      </c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  <c r="CB144" s="51"/>
      <c r="CC144" s="51"/>
      <c r="CD144" s="51"/>
      <c r="CE144" s="51"/>
      <c r="CF144" s="51"/>
      <c r="CG144" s="51"/>
      <c r="CH144" s="51"/>
      <c r="CI144" s="51"/>
      <c r="CJ144" s="51"/>
      <c r="CK144" s="51"/>
      <c r="CL144" s="51"/>
      <c r="CM144" s="51"/>
      <c r="CN144" s="51"/>
      <c r="CO144" s="51"/>
      <c r="CP144" s="51"/>
      <c r="CQ144" s="51"/>
      <c r="CR144" s="51"/>
      <c r="CS144" s="51"/>
      <c r="CT144" s="51"/>
      <c r="CU144" s="51">
        <v>-637.20000000000005</v>
      </c>
      <c r="CV144" s="51">
        <f>-1235.2-CU144</f>
        <v>-598</v>
      </c>
      <c r="CW144" s="51">
        <f>-1822.6-CV144-CU144</f>
        <v>-587.39999999999986</v>
      </c>
      <c r="CX144" s="51">
        <f>-2409.8-CW144-CV144-CU144</f>
        <v>-587.20000000000027</v>
      </c>
      <c r="CY144" s="51">
        <v>-671.3</v>
      </c>
      <c r="CZ144" s="51">
        <f>-1345.5-CY144</f>
        <v>-674.2</v>
      </c>
      <c r="DA144" s="51">
        <f>-2017.1-CZ144-CY144</f>
        <v>-671.59999999999991</v>
      </c>
      <c r="DB144" s="51">
        <f>-2687.1-DA144-CZ144-CY144</f>
        <v>-670</v>
      </c>
      <c r="DC144" s="51">
        <v>-774.8</v>
      </c>
      <c r="DD144" s="51">
        <f>-1543.1-DC144</f>
        <v>-768.3</v>
      </c>
      <c r="DE144" s="51">
        <f>-2313.5-DD144-DC144</f>
        <v>-770.40000000000009</v>
      </c>
      <c r="DF144" s="51">
        <f>-3086.8-DE144-DD144-DC144</f>
        <v>-773.30000000000018</v>
      </c>
      <c r="DG144" s="51">
        <v>-885.5</v>
      </c>
      <c r="DH144" s="51">
        <f>-1769.2-DG144</f>
        <v>-883.7</v>
      </c>
      <c r="DI144" s="51">
        <f>-2651.4-DH144-DG144</f>
        <v>-882.2</v>
      </c>
      <c r="DJ144" s="51">
        <f>-3535.8-DI144-DH144-DG144</f>
        <v>-884.40000000000032</v>
      </c>
      <c r="DK144" s="51">
        <v>-1017.2</v>
      </c>
      <c r="DL144" s="51">
        <f>-2035-DK144</f>
        <v>-1017.8</v>
      </c>
      <c r="DM144" s="51">
        <f>-3051.2-DL144-DK144</f>
        <v>-1016.1999999999998</v>
      </c>
      <c r="DN144" s="51">
        <f>-4069.3-DM144-DL144-DK144</f>
        <v>-1018.1000000000004</v>
      </c>
      <c r="DO144" s="51">
        <v>-1169.2</v>
      </c>
      <c r="DP144" s="51">
        <f>-2341.6-DO144</f>
        <v>-1172.3999999999999</v>
      </c>
      <c r="DQ144" s="51">
        <f>-3512.1-DP144-DO144</f>
        <v>-1170.4999999999998</v>
      </c>
      <c r="DR144" s="51">
        <f>-4680.4-DQ144-DP144-DO144</f>
        <v>-1168.3</v>
      </c>
      <c r="DS144" s="51">
        <v>-1346.3</v>
      </c>
      <c r="DT144" s="51"/>
      <c r="DU144" s="51"/>
      <c r="DV144" s="51"/>
      <c r="EN144" s="51"/>
      <c r="EO144" s="51"/>
      <c r="EP144" s="51"/>
      <c r="EQ144" s="51"/>
      <c r="ER144" s="51"/>
      <c r="ES144" s="51"/>
      <c r="ET144" s="51"/>
      <c r="EU144" s="51"/>
      <c r="EV144" s="51"/>
      <c r="EW144" s="51"/>
      <c r="EX144" s="51"/>
      <c r="EY144" s="51"/>
      <c r="EZ144" s="51"/>
      <c r="FA144" s="51"/>
      <c r="FB144" s="51"/>
      <c r="FC144" s="51"/>
      <c r="FD144" s="51"/>
      <c r="FF144" s="49">
        <f t="shared" ref="FF144:FF147" si="547">SUM(CU144:CX144)</f>
        <v>-2409.8000000000002</v>
      </c>
      <c r="FG144" s="49">
        <f t="shared" ref="FG144:FG147" si="548">SUM(CY144:DB144)</f>
        <v>-2687.1</v>
      </c>
      <c r="FH144" s="49">
        <f>SUM(DC144:DF144)</f>
        <v>-3086.8</v>
      </c>
      <c r="FI144" s="49">
        <f>SUM(DG144:DJ144)</f>
        <v>-3535.8</v>
      </c>
      <c r="FJ144" s="49">
        <f>SUM(DK144:DN144)</f>
        <v>-4069.3</v>
      </c>
    </row>
    <row r="145" spans="2:166" s="49" customFormat="1" x14ac:dyDescent="0.25">
      <c r="B145" s="50" t="s">
        <v>399</v>
      </c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  <c r="BN145" s="51"/>
      <c r="BO145" s="51"/>
      <c r="BP145" s="51"/>
      <c r="BQ145" s="51"/>
      <c r="BR145" s="51"/>
      <c r="BS145" s="51"/>
      <c r="BT145" s="51"/>
      <c r="BU145" s="51"/>
      <c r="BV145" s="51"/>
      <c r="BW145" s="51"/>
      <c r="BX145" s="51"/>
      <c r="BY145" s="51"/>
      <c r="BZ145" s="51"/>
      <c r="CA145" s="51"/>
      <c r="CB145" s="51"/>
      <c r="CC145" s="51"/>
      <c r="CD145" s="51"/>
      <c r="CE145" s="51"/>
      <c r="CF145" s="51"/>
      <c r="CG145" s="51"/>
      <c r="CH145" s="51"/>
      <c r="CI145" s="51"/>
      <c r="CJ145" s="51"/>
      <c r="CK145" s="51"/>
      <c r="CL145" s="51"/>
      <c r="CM145" s="51"/>
      <c r="CN145" s="51"/>
      <c r="CO145" s="51"/>
      <c r="CP145" s="51"/>
      <c r="CQ145" s="51"/>
      <c r="CR145" s="51"/>
      <c r="CS145" s="51"/>
      <c r="CT145" s="51"/>
      <c r="CU145" s="51">
        <f>1850.4+4448.3-600</f>
        <v>5698.7000000000007</v>
      </c>
      <c r="CV145" s="51">
        <f>1564.3+4448.3-600.2-CU145</f>
        <v>-286.30000000000018</v>
      </c>
      <c r="CW145" s="51">
        <f>1058.9+4448.3-600.3-CV145-CU145</f>
        <v>-505.5</v>
      </c>
      <c r="CX145" s="51">
        <f>995.4+6556.4-2866.4-CW145-CV145-CU145</f>
        <v>-221.50000000000091</v>
      </c>
      <c r="CY145" s="51">
        <f>1748.7-276.3</f>
        <v>1472.4</v>
      </c>
      <c r="CZ145" s="51">
        <f>-235.4+988.6-276.3-CY145</f>
        <v>-995.5</v>
      </c>
      <c r="DA145" s="51">
        <f>-914.3+2062.3-276.3-CZ145-CY145</f>
        <v>394.80000000000018</v>
      </c>
      <c r="DB145" s="51">
        <f>-1494.2+2062.3-276.5-DA145-CZ145-CY145</f>
        <v>-580.10000000000014</v>
      </c>
      <c r="DC145" s="51">
        <v>-3.7</v>
      </c>
      <c r="DD145" s="51">
        <f>196.3-DC145</f>
        <v>200</v>
      </c>
      <c r="DE145" s="51">
        <f>-1.5+2410.8-1905.3-DD145-DC145</f>
        <v>307.70000000000022</v>
      </c>
      <c r="DF145" s="51">
        <f>-4+2410.8-1905.4-DE145-DD145-DC145</f>
        <v>-2.6000000000001249</v>
      </c>
      <c r="DG145" s="52">
        <f>499.7-710.1</f>
        <v>-210.40000000000003</v>
      </c>
      <c r="DH145" s="51">
        <f>2117.2-1560-DG145</f>
        <v>767.59999999999991</v>
      </c>
      <c r="DI145" s="51">
        <f>1741.3-1560-DH145-DG145</f>
        <v>-375.89999999999992</v>
      </c>
      <c r="DJ145" s="51">
        <f>1498-1560-DI145-DH145-DG145</f>
        <v>-243.29999999999995</v>
      </c>
      <c r="DK145" s="51">
        <f>-1498+3958.5</f>
        <v>2460.5</v>
      </c>
      <c r="DL145" s="51">
        <f>-1498-DK145+3958.5</f>
        <v>0</v>
      </c>
      <c r="DM145" s="51">
        <f>97-DL145-DK145+3958.5</f>
        <v>1595</v>
      </c>
      <c r="DN145" s="51">
        <f>4691.4+3958.5-DM145-DL145-DK145</f>
        <v>4594.3999999999996</v>
      </c>
      <c r="DO145" s="51">
        <v>-5204.8</v>
      </c>
      <c r="DP145" s="51">
        <f>-1804.7+6452.5-DO145-664.2</f>
        <v>9188.4</v>
      </c>
      <c r="DQ145" s="51">
        <f>-4894.1+11417.1-664.2-DP145-DO145</f>
        <v>1875.2000000000007</v>
      </c>
      <c r="DR145" s="51">
        <f>-1851.8+11417.1-664.2-DQ145-DP145-DO145</f>
        <v>3042.3</v>
      </c>
      <c r="DS145" s="51">
        <f>-1848.7+6461</f>
        <v>4612.3</v>
      </c>
      <c r="DT145" s="51"/>
      <c r="DU145" s="51"/>
      <c r="DV145" s="51"/>
      <c r="EN145" s="51"/>
      <c r="EO145" s="51"/>
      <c r="EP145" s="51"/>
      <c r="EQ145" s="51"/>
      <c r="ER145" s="51"/>
      <c r="ES145" s="51"/>
      <c r="ET145" s="51"/>
      <c r="EU145" s="51"/>
      <c r="EV145" s="51"/>
      <c r="EW145" s="51"/>
      <c r="EX145" s="51"/>
      <c r="EY145" s="51"/>
      <c r="EZ145" s="51"/>
      <c r="FA145" s="51"/>
      <c r="FB145" s="51"/>
      <c r="FC145" s="51"/>
      <c r="FD145" s="51"/>
      <c r="FF145" s="49">
        <f t="shared" si="547"/>
        <v>4685.3999999999996</v>
      </c>
      <c r="FG145" s="49">
        <f t="shared" si="548"/>
        <v>291.60000000000014</v>
      </c>
      <c r="FH145" s="49">
        <f>SUM(DC145:DF145)</f>
        <v>501.40000000000009</v>
      </c>
      <c r="FI145" s="49">
        <f>SUM(DG145:DJ145)</f>
        <v>-62.000000000000057</v>
      </c>
      <c r="FJ145" s="49">
        <f>SUM(DK145:DN145)</f>
        <v>8649.9</v>
      </c>
    </row>
    <row r="146" spans="2:166" s="49" customFormat="1" x14ac:dyDescent="0.25">
      <c r="B146" s="50" t="s">
        <v>398</v>
      </c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51"/>
      <c r="BW146" s="51"/>
      <c r="BX146" s="51"/>
      <c r="BY146" s="51"/>
      <c r="BZ146" s="51"/>
      <c r="CA146" s="51"/>
      <c r="CB146" s="51"/>
      <c r="CC146" s="51"/>
      <c r="CD146" s="51"/>
      <c r="CE146" s="51"/>
      <c r="CF146" s="51"/>
      <c r="CG146" s="51"/>
      <c r="CH146" s="51"/>
      <c r="CI146" s="51"/>
      <c r="CJ146" s="51"/>
      <c r="CK146" s="51"/>
      <c r="CL146" s="51"/>
      <c r="CM146" s="51"/>
      <c r="CN146" s="51"/>
      <c r="CO146" s="51"/>
      <c r="CP146" s="51"/>
      <c r="CQ146" s="51"/>
      <c r="CR146" s="51"/>
      <c r="CS146" s="51"/>
      <c r="CT146" s="51"/>
      <c r="CU146" s="51">
        <v>-3500</v>
      </c>
      <c r="CV146" s="51">
        <f>-3500-CU146</f>
        <v>0</v>
      </c>
      <c r="CW146" s="51">
        <f>-4100-CV146-CU146</f>
        <v>-600</v>
      </c>
      <c r="CX146" s="51">
        <f>-4400-CW146-CV146-CU146</f>
        <v>-300</v>
      </c>
      <c r="CY146" s="51">
        <v>-500</v>
      </c>
      <c r="CZ146" s="51">
        <f>-500-CY146</f>
        <v>0</v>
      </c>
      <c r="DA146" s="51">
        <f>-500-CZ146-CY146</f>
        <v>0</v>
      </c>
      <c r="DB146" s="51">
        <f>-500-DA146-CZ146-CY146</f>
        <v>0</v>
      </c>
      <c r="DC146" s="51">
        <v>0</v>
      </c>
      <c r="DD146" s="51">
        <f>-500-DC146</f>
        <v>-500</v>
      </c>
      <c r="DE146" s="51">
        <f>-500-DD146-DC146</f>
        <v>0</v>
      </c>
      <c r="DF146" s="51">
        <f>-1250-DE146-DD146-DC146</f>
        <v>-750</v>
      </c>
      <c r="DG146" s="51">
        <v>-1500</v>
      </c>
      <c r="DH146" s="51">
        <f>-1500-DG146</f>
        <v>0</v>
      </c>
      <c r="DI146" s="51">
        <f>-1500-DH146-DG146</f>
        <v>0</v>
      </c>
      <c r="DJ146" s="51">
        <f>-1500-DI146-DH146-DG146</f>
        <v>0</v>
      </c>
      <c r="DK146" s="51">
        <v>-750</v>
      </c>
      <c r="DL146" s="51">
        <f>-750-DK146</f>
        <v>0</v>
      </c>
      <c r="DM146" s="51">
        <f>-750-DL146-DK146</f>
        <v>0</v>
      </c>
      <c r="DN146" s="51">
        <f>-750-DM146-DL146-DK146</f>
        <v>0</v>
      </c>
      <c r="DO146" s="51">
        <v>6452.5</v>
      </c>
      <c r="DP146" s="51">
        <f>0-DO146</f>
        <v>-6452.5</v>
      </c>
      <c r="DQ146" s="51">
        <f>-446.1-DP146-DO146</f>
        <v>-446.10000000000036</v>
      </c>
      <c r="DR146" s="51">
        <f>-2500-DQ146-DP146-DO146</f>
        <v>-2053.8999999999996</v>
      </c>
      <c r="DS146" s="51">
        <v>-1200</v>
      </c>
      <c r="DT146" s="51"/>
      <c r="DU146" s="51"/>
      <c r="DV146" s="51"/>
      <c r="EN146" s="51"/>
      <c r="EO146" s="51"/>
      <c r="EP146" s="51"/>
      <c r="EQ146" s="51"/>
      <c r="ER146" s="51"/>
      <c r="ES146" s="51"/>
      <c r="ET146" s="51"/>
      <c r="EU146" s="51"/>
      <c r="EV146" s="51"/>
      <c r="EW146" s="51"/>
      <c r="EX146" s="51"/>
      <c r="EY146" s="51"/>
      <c r="EZ146" s="51"/>
      <c r="FA146" s="51"/>
      <c r="FB146" s="51"/>
      <c r="FC146" s="51"/>
      <c r="FD146" s="51"/>
      <c r="FF146" s="49">
        <f t="shared" si="547"/>
        <v>-4400</v>
      </c>
      <c r="FG146" s="49">
        <f t="shared" si="548"/>
        <v>-500</v>
      </c>
      <c r="FH146" s="49">
        <f>SUM(DC146:DF146)</f>
        <v>-1250</v>
      </c>
      <c r="FI146" s="49">
        <f>SUM(DG146:DJ146)</f>
        <v>-1500</v>
      </c>
      <c r="FJ146" s="49">
        <f>SUM(DK146:DN146)</f>
        <v>-750</v>
      </c>
    </row>
    <row r="147" spans="2:166" s="49" customFormat="1" x14ac:dyDescent="0.25">
      <c r="B147" s="50" t="s">
        <v>78</v>
      </c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  <c r="CB147" s="51"/>
      <c r="CC147" s="51"/>
      <c r="CD147" s="51"/>
      <c r="CE147" s="51"/>
      <c r="CF147" s="51"/>
      <c r="CG147" s="51"/>
      <c r="CH147" s="51"/>
      <c r="CI147" s="51"/>
      <c r="CJ147" s="51"/>
      <c r="CK147" s="51"/>
      <c r="CL147" s="51"/>
      <c r="CM147" s="51"/>
      <c r="CN147" s="51"/>
      <c r="CO147" s="51"/>
      <c r="CP147" s="51"/>
      <c r="CQ147" s="51"/>
      <c r="CR147" s="51"/>
      <c r="CS147" s="51"/>
      <c r="CT147" s="51"/>
      <c r="CU147" s="51">
        <v>-193.7</v>
      </c>
      <c r="CV147" s="51">
        <f>-195.2-CU147</f>
        <v>-1.5</v>
      </c>
      <c r="CW147" s="51">
        <f>-195.2-CV147-CU147</f>
        <v>0</v>
      </c>
      <c r="CX147" s="51">
        <f>-200.1-CW147-CV147-CU147</f>
        <v>-4.9000000000000057</v>
      </c>
      <c r="CY147" s="51">
        <v>-194.4</v>
      </c>
      <c r="CZ147" s="51">
        <f>-197.9-CY147</f>
        <v>-3.5</v>
      </c>
      <c r="DA147" s="51">
        <f>-200.2-CZ147-CY147</f>
        <v>-2.2999999999999829</v>
      </c>
      <c r="DB147" s="51">
        <f>-241.6-DA147-CZ147-CY147</f>
        <v>-41.400000000000006</v>
      </c>
      <c r="DC147" s="51">
        <v>-279.89999999999998</v>
      </c>
      <c r="DD147" s="51">
        <f>-294.8-DC147</f>
        <v>-14.900000000000034</v>
      </c>
      <c r="DE147" s="51">
        <f>-295.3-DD147-DC147</f>
        <v>-0.5</v>
      </c>
      <c r="DF147" s="51">
        <f>-295.9-DE147-DD147-DC147</f>
        <v>-0.59999999999996589</v>
      </c>
      <c r="DG147" s="51">
        <v>-282.39999999999998</v>
      </c>
      <c r="DH147" s="51">
        <f>-290-DG147</f>
        <v>-7.6000000000000227</v>
      </c>
      <c r="DI147" s="51">
        <f>-295.2-DH147-DG147</f>
        <v>-5.1999999999999886</v>
      </c>
      <c r="DJ147" s="51">
        <f>-308.9-DI147-DH147-DG147</f>
        <v>-13.699999999999989</v>
      </c>
      <c r="DK147" s="51">
        <v>-281</v>
      </c>
      <c r="DL147" s="51">
        <f>-296.6-DK147</f>
        <v>-15.600000000000023</v>
      </c>
      <c r="DM147" s="51">
        <f>-303.4-DL147-DK147</f>
        <v>-6.7999999999999545</v>
      </c>
      <c r="DN147" s="51">
        <f>-335-DM147-DL147-DK147</f>
        <v>-31.600000000000023</v>
      </c>
      <c r="DO147" s="51">
        <v>-389.8</v>
      </c>
      <c r="DP147" s="51">
        <f>-397.8-DO147</f>
        <v>-8</v>
      </c>
      <c r="DQ147" s="51">
        <f>-445.1-DP147-DO147</f>
        <v>-47.300000000000011</v>
      </c>
      <c r="DR147" s="51">
        <f>-490.6-DQ147-DP147-DO147</f>
        <v>-45.5</v>
      </c>
      <c r="DS147" s="51">
        <v>-686.3</v>
      </c>
      <c r="DT147" s="51"/>
      <c r="DU147" s="51"/>
      <c r="DV147" s="51"/>
      <c r="EN147" s="51"/>
      <c r="EO147" s="51"/>
      <c r="EP147" s="51"/>
      <c r="EQ147" s="51"/>
      <c r="ER147" s="51"/>
      <c r="ES147" s="51"/>
      <c r="ET147" s="51"/>
      <c r="EU147" s="51"/>
      <c r="EV147" s="51"/>
      <c r="EW147" s="51"/>
      <c r="EX147" s="51"/>
      <c r="EY147" s="51"/>
      <c r="EZ147" s="51"/>
      <c r="FA147" s="51"/>
      <c r="FB147" s="51"/>
      <c r="FC147" s="51"/>
      <c r="FD147" s="51"/>
      <c r="FF147" s="49">
        <f t="shared" si="547"/>
        <v>-200.1</v>
      </c>
      <c r="FG147" s="49">
        <f t="shared" si="548"/>
        <v>-241.6</v>
      </c>
      <c r="FH147" s="49">
        <f>SUM(DC147:DF147)</f>
        <v>-295.89999999999998</v>
      </c>
      <c r="FI147" s="49">
        <f>SUM(DG147:DJ147)</f>
        <v>-308.89999999999998</v>
      </c>
      <c r="FJ147" s="49">
        <f>SUM(DK147:DN147)</f>
        <v>-335</v>
      </c>
    </row>
    <row r="148" spans="2:166" s="49" customFormat="1" x14ac:dyDescent="0.25">
      <c r="B148" s="50" t="s">
        <v>397</v>
      </c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  <c r="BN148" s="51"/>
      <c r="BO148" s="51"/>
      <c r="BP148" s="51"/>
      <c r="BQ148" s="51"/>
      <c r="BR148" s="51"/>
      <c r="BS148" s="51"/>
      <c r="BT148" s="51"/>
      <c r="BU148" s="51"/>
      <c r="BV148" s="51"/>
      <c r="BW148" s="51"/>
      <c r="BX148" s="51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1"/>
      <c r="CL148" s="51"/>
      <c r="CM148" s="51"/>
      <c r="CN148" s="51"/>
      <c r="CO148" s="51"/>
      <c r="CP148" s="51"/>
      <c r="CQ148" s="51"/>
      <c r="CR148" s="51"/>
      <c r="CS148" s="51"/>
      <c r="CT148" s="51"/>
      <c r="CU148" s="51">
        <f t="shared" ref="CU148" si="549">SUM(CU144:CU147)</f>
        <v>1367.8000000000009</v>
      </c>
      <c r="CV148" s="51">
        <f t="shared" ref="CV148" si="550">SUM(CV144:CV147)</f>
        <v>-885.80000000000018</v>
      </c>
      <c r="CW148" s="51">
        <f t="shared" ref="CW148" si="551">SUM(CW144:CW147)</f>
        <v>-1692.8999999999999</v>
      </c>
      <c r="CX148" s="51">
        <f t="shared" ref="CX148" si="552">SUM(CX144:CX147)</f>
        <v>-1113.6000000000013</v>
      </c>
      <c r="CY148" s="51">
        <f t="shared" ref="CY148:DB148" si="553">SUM(CY144:CY147)</f>
        <v>106.70000000000013</v>
      </c>
      <c r="CZ148" s="51">
        <f t="shared" si="553"/>
        <v>-1673.2</v>
      </c>
      <c r="DA148" s="51">
        <f t="shared" si="553"/>
        <v>-279.09999999999968</v>
      </c>
      <c r="DB148" s="51">
        <f t="shared" si="553"/>
        <v>-1291.5000000000002</v>
      </c>
      <c r="DC148" s="51">
        <f t="shared" ref="DC148:DS148" si="554">SUM(DC144:DC147)</f>
        <v>-1058.4000000000001</v>
      </c>
      <c r="DD148" s="51">
        <f t="shared" si="554"/>
        <v>-1083.2</v>
      </c>
      <c r="DE148" s="51">
        <f t="shared" si="554"/>
        <v>-463.19999999999987</v>
      </c>
      <c r="DF148" s="51">
        <f t="shared" si="554"/>
        <v>-1526.5000000000002</v>
      </c>
      <c r="DG148" s="51">
        <f t="shared" si="554"/>
        <v>-2878.3</v>
      </c>
      <c r="DH148" s="51">
        <f t="shared" si="554"/>
        <v>-123.70000000000016</v>
      </c>
      <c r="DI148" s="51">
        <f t="shared" si="554"/>
        <v>-1263.3</v>
      </c>
      <c r="DJ148" s="51">
        <f t="shared" si="554"/>
        <v>-1141.4000000000003</v>
      </c>
      <c r="DK148" s="51">
        <f t="shared" si="554"/>
        <v>412.29999999999995</v>
      </c>
      <c r="DL148" s="51">
        <f t="shared" si="554"/>
        <v>-1033.4000000000001</v>
      </c>
      <c r="DM148" s="51">
        <f t="shared" si="554"/>
        <v>572.00000000000023</v>
      </c>
      <c r="DN148" s="51">
        <f t="shared" si="554"/>
        <v>3544.6999999999994</v>
      </c>
      <c r="DO148" s="51">
        <f t="shared" si="554"/>
        <v>-311.3</v>
      </c>
      <c r="DP148" s="51">
        <f t="shared" si="554"/>
        <v>1555.5</v>
      </c>
      <c r="DQ148" s="51">
        <f t="shared" si="554"/>
        <v>211.30000000000058</v>
      </c>
      <c r="DR148" s="51">
        <f t="shared" si="554"/>
        <v>-225.39999999999941</v>
      </c>
      <c r="DS148" s="51">
        <f t="shared" si="554"/>
        <v>1379.7</v>
      </c>
      <c r="DT148" s="51"/>
      <c r="DU148" s="51"/>
      <c r="DV148" s="51"/>
      <c r="EN148" s="51"/>
      <c r="EO148" s="51"/>
      <c r="EP148" s="51"/>
      <c r="EQ148" s="51"/>
      <c r="ER148" s="51"/>
      <c r="ES148" s="51"/>
      <c r="ET148" s="51"/>
      <c r="EU148" s="51"/>
      <c r="EV148" s="51"/>
      <c r="EW148" s="51"/>
      <c r="EX148" s="51"/>
      <c r="EY148" s="51"/>
      <c r="EZ148" s="51"/>
      <c r="FA148" s="51"/>
      <c r="FB148" s="51"/>
      <c r="FC148" s="51"/>
      <c r="FD148" s="51"/>
      <c r="FF148" s="49">
        <f>SUM(DG148:DJ148)</f>
        <v>-5406.7000000000007</v>
      </c>
      <c r="FG148" s="49">
        <f>SUM(DH148:DK148)</f>
        <v>-2116.1000000000004</v>
      </c>
      <c r="FH148" s="49">
        <f t="shared" ref="FH148" si="555">SUM(DI148:DL148)</f>
        <v>-3025.8</v>
      </c>
      <c r="FI148" s="49">
        <f t="shared" ref="FI148" si="556">SUM(DJ148:DM148)</f>
        <v>-1190.5000000000002</v>
      </c>
      <c r="FJ148" s="49">
        <f t="shared" si="546"/>
        <v>3495.5999999999995</v>
      </c>
    </row>
    <row r="149" spans="2:166" s="49" customFormat="1" x14ac:dyDescent="0.25">
      <c r="B149" s="50" t="s">
        <v>400</v>
      </c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51"/>
      <c r="CJ149" s="51"/>
      <c r="CK149" s="51"/>
      <c r="CL149" s="51"/>
      <c r="CM149" s="51"/>
      <c r="CN149" s="51"/>
      <c r="CO149" s="51"/>
      <c r="CP149" s="51"/>
      <c r="CQ149" s="51"/>
      <c r="CR149" s="51"/>
      <c r="CS149" s="51"/>
      <c r="CT149" s="51"/>
      <c r="CU149" s="51">
        <v>37.799999999999997</v>
      </c>
      <c r="CV149" s="51">
        <f>64.9-CU149</f>
        <v>27.100000000000009</v>
      </c>
      <c r="CW149" s="51">
        <f>-54.9-CV149-CU149</f>
        <v>-119.8</v>
      </c>
      <c r="CX149" s="51">
        <f>-89.9-CW149-CV149-CU149</f>
        <v>-35.000000000000014</v>
      </c>
      <c r="CY149" s="51">
        <v>-66.7</v>
      </c>
      <c r="CZ149" s="51">
        <f>-12.4-CY149</f>
        <v>54.300000000000004</v>
      </c>
      <c r="DA149" s="51">
        <f>3.8-CZ149-CY149</f>
        <v>16.199999999999996</v>
      </c>
      <c r="DB149" s="51">
        <f>216-DA149-CZ149-CY149</f>
        <v>212.2</v>
      </c>
      <c r="DC149" s="51">
        <v>-10.199999999999999</v>
      </c>
      <c r="DD149" s="51">
        <f>-1.6-DC149</f>
        <v>8.6</v>
      </c>
      <c r="DE149" s="51">
        <f>15-DD149-DC149</f>
        <v>16.600000000000001</v>
      </c>
      <c r="DF149" s="51">
        <f>-205.7-DE149-DD149-DC149</f>
        <v>-220.7</v>
      </c>
      <c r="DG149" s="51">
        <v>33.6</v>
      </c>
      <c r="DH149" s="51">
        <f>-35.8-DG149</f>
        <v>-69.400000000000006</v>
      </c>
      <c r="DI149" s="51">
        <f>-39.4-DH149-DG149</f>
        <v>-3.5999999999999943</v>
      </c>
      <c r="DJ149" s="51">
        <f>-167.6-DI149-DH149-DG149</f>
        <v>-128.19999999999999</v>
      </c>
      <c r="DK149" s="51">
        <v>24.8</v>
      </c>
      <c r="DL149" s="51">
        <f>34-DK149</f>
        <v>9.1999999999999993</v>
      </c>
      <c r="DM149" s="51">
        <f>39.3-DL149-DK149</f>
        <v>5.2999999999999972</v>
      </c>
      <c r="DN149" s="51">
        <f>168.6-DM149-DL149-DK149</f>
        <v>129.30000000000001</v>
      </c>
      <c r="DO149" s="51">
        <v>-35.5</v>
      </c>
      <c r="DP149" s="51">
        <f>-95.1-DO149</f>
        <v>-59.599999999999994</v>
      </c>
      <c r="DQ149" s="51">
        <f>131.8-DP149-DO149</f>
        <v>226.9</v>
      </c>
      <c r="DR149" s="51">
        <f>-296.7-DQ149-DP149-DO149</f>
        <v>-428.5</v>
      </c>
      <c r="DS149" s="51">
        <v>131.9</v>
      </c>
      <c r="DT149" s="51"/>
      <c r="DU149" s="51"/>
      <c r="DV149" s="51"/>
      <c r="EN149" s="51"/>
      <c r="EO149" s="51"/>
      <c r="EP149" s="51"/>
      <c r="EQ149" s="51"/>
      <c r="ER149" s="51"/>
      <c r="ES149" s="51"/>
      <c r="ET149" s="51"/>
      <c r="EU149" s="51"/>
      <c r="EV149" s="51"/>
      <c r="EW149" s="51"/>
      <c r="EX149" s="51"/>
      <c r="EY149" s="51"/>
      <c r="EZ149" s="51"/>
      <c r="FA149" s="51"/>
      <c r="FB149" s="51"/>
      <c r="FC149" s="51"/>
      <c r="FD149" s="51"/>
      <c r="FF149" s="49">
        <f t="shared" ref="FF149" si="557">SUM(CU149:CX149)</f>
        <v>-89.9</v>
      </c>
      <c r="FG149" s="49">
        <f t="shared" ref="FG149" si="558">SUM(CY149:DB149)</f>
        <v>216</v>
      </c>
      <c r="FH149" s="49">
        <f>SUM(DC149:DF149)</f>
        <v>-205.7</v>
      </c>
      <c r="FI149" s="49">
        <f>SUM(DG149:DJ149)</f>
        <v>-167.6</v>
      </c>
      <c r="FJ149" s="49">
        <f>SUM(DK149:DN149)</f>
        <v>168.60000000000002</v>
      </c>
    </row>
    <row r="150" spans="2:166" s="49" customFormat="1" x14ac:dyDescent="0.25">
      <c r="B150" s="50" t="s">
        <v>401</v>
      </c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  <c r="BJ150" s="51"/>
      <c r="BK150" s="51"/>
      <c r="BL150" s="51"/>
      <c r="BM150" s="51"/>
      <c r="BN150" s="51"/>
      <c r="BO150" s="51"/>
      <c r="BP150" s="51"/>
      <c r="BQ150" s="51"/>
      <c r="BR150" s="51"/>
      <c r="BS150" s="51"/>
      <c r="BT150" s="51"/>
      <c r="BU150" s="51"/>
      <c r="BV150" s="51"/>
      <c r="BW150" s="51"/>
      <c r="BX150" s="51"/>
      <c r="BY150" s="51"/>
      <c r="BZ150" s="51"/>
      <c r="CA150" s="51"/>
      <c r="CB150" s="51"/>
      <c r="CC150" s="51"/>
      <c r="CD150" s="51"/>
      <c r="CE150" s="51"/>
      <c r="CF150" s="51"/>
      <c r="CG150" s="51"/>
      <c r="CH150" s="51"/>
      <c r="CI150" s="51"/>
      <c r="CJ150" s="51"/>
      <c r="CK150" s="51"/>
      <c r="CL150" s="51"/>
      <c r="CM150" s="51"/>
      <c r="CN150" s="51"/>
      <c r="CO150" s="51"/>
      <c r="CP150" s="51"/>
      <c r="CQ150" s="51"/>
      <c r="CR150" s="51"/>
      <c r="CS150" s="51"/>
      <c r="CT150" s="51"/>
      <c r="CU150" s="51">
        <f t="shared" ref="CU150" si="559">+CU149+CU148+CU142+CU136</f>
        <v>-5961.7999999999975</v>
      </c>
      <c r="CV150" s="51">
        <f t="shared" ref="CV150" si="560">+CV149+CV148+CV142+CV136</f>
        <v>253.79999999999927</v>
      </c>
      <c r="CW150" s="51">
        <f t="shared" ref="CW150" si="561">+CW149+CW148+CW142+CW136</f>
        <v>-726.40000000000055</v>
      </c>
      <c r="CX150" s="51">
        <f t="shared" ref="CX150" si="562">+CX149+CX148+CX142+CX136</f>
        <v>773.69999999999845</v>
      </c>
      <c r="CY150" s="51">
        <f t="shared" ref="CY150:DB150" si="563">+CY149+CY148+CY142+CY136</f>
        <v>-638.49999999999989</v>
      </c>
      <c r="CZ150" s="51">
        <f t="shared" si="563"/>
        <v>666.09999999999945</v>
      </c>
      <c r="DA150" s="51">
        <f t="shared" si="563"/>
        <v>1230.2000000000005</v>
      </c>
      <c r="DB150" s="51">
        <f t="shared" si="563"/>
        <v>61.799999999999727</v>
      </c>
      <c r="DC150" s="51">
        <f t="shared" ref="DC150:DJ150" si="564">+DC149+DC148+DC142+DC136</f>
        <v>-654.7000000000005</v>
      </c>
      <c r="DD150" s="51">
        <f t="shared" si="564"/>
        <v>217.59999999999991</v>
      </c>
      <c r="DE150" s="51">
        <f t="shared" si="564"/>
        <v>568.20000000000027</v>
      </c>
      <c r="DF150" s="51">
        <f t="shared" si="564"/>
        <v>30.300000000000182</v>
      </c>
      <c r="DG150" s="51">
        <f t="shared" si="564"/>
        <v>-1359.3000000000002</v>
      </c>
      <c r="DH150" s="51">
        <f t="shared" si="564"/>
        <v>163.69999999999993</v>
      </c>
      <c r="DI150" s="51">
        <f t="shared" si="564"/>
        <v>-5.1999999999993634</v>
      </c>
      <c r="DJ150" s="51">
        <f t="shared" si="564"/>
        <v>-550.70000000000005</v>
      </c>
      <c r="DK150" s="51">
        <f t="shared" ref="DK150:DS150" si="565">+DK136+DK142+DK148+DK149</f>
        <v>1478.9</v>
      </c>
      <c r="DL150" s="51">
        <f t="shared" si="565"/>
        <v>-851.40000000000009</v>
      </c>
      <c r="DM150" s="51">
        <f t="shared" si="565"/>
        <v>-313.69999999999976</v>
      </c>
      <c r="DN150" s="51">
        <f t="shared" si="565"/>
        <v>437.79999999999774</v>
      </c>
      <c r="DO150" s="51">
        <f t="shared" si="565"/>
        <v>-358.40000000000038</v>
      </c>
      <c r="DP150" s="51">
        <f t="shared" si="565"/>
        <v>763.39999999999952</v>
      </c>
      <c r="DQ150" s="51">
        <f t="shared" si="565"/>
        <v>145.4000000000004</v>
      </c>
      <c r="DR150" s="51">
        <f t="shared" si="565"/>
        <v>-100.59999999999764</v>
      </c>
      <c r="DS150" s="51">
        <f t="shared" si="565"/>
        <v>-175.09999999999954</v>
      </c>
      <c r="DT150" s="51"/>
      <c r="DU150" s="51"/>
      <c r="DV150" s="51"/>
      <c r="EN150" s="51"/>
      <c r="EO150" s="51"/>
      <c r="EP150" s="51"/>
      <c r="EQ150" s="51"/>
      <c r="ER150" s="51"/>
      <c r="ES150" s="51"/>
      <c r="ET150" s="51"/>
      <c r="EU150" s="51"/>
      <c r="EV150" s="51"/>
      <c r="EW150" s="51"/>
      <c r="EX150" s="51"/>
      <c r="EY150" s="51"/>
      <c r="EZ150" s="51"/>
      <c r="FA150" s="51"/>
      <c r="FB150" s="51"/>
      <c r="FC150" s="51"/>
      <c r="FD150" s="51"/>
      <c r="FF150" s="49">
        <f t="shared" ref="FF150:FI150" si="566">+FF148+FF149</f>
        <v>-5496.6</v>
      </c>
      <c r="FG150" s="49">
        <f t="shared" si="566"/>
        <v>-1900.1000000000004</v>
      </c>
      <c r="FH150" s="49">
        <f t="shared" si="566"/>
        <v>-3231.5</v>
      </c>
      <c r="FI150" s="49">
        <f t="shared" si="566"/>
        <v>-1358.1000000000001</v>
      </c>
      <c r="FJ150" s="49">
        <f>+FJ148+FJ149</f>
        <v>3664.1999999999994</v>
      </c>
    </row>
    <row r="151" spans="2:166" x14ac:dyDescent="0.25">
      <c r="DN151" s="51"/>
      <c r="FG151" s="49"/>
      <c r="FH151" s="49"/>
      <c r="FI151" s="49"/>
    </row>
    <row r="152" spans="2:166" x14ac:dyDescent="0.25">
      <c r="B152" t="s">
        <v>493</v>
      </c>
      <c r="DN152" s="51"/>
      <c r="EK152" s="49">
        <v>29800</v>
      </c>
      <c r="EL152" s="49">
        <v>31300</v>
      </c>
      <c r="EM152" s="49">
        <v>35700</v>
      </c>
      <c r="EN152" s="51">
        <v>41100</v>
      </c>
      <c r="EO152" s="51">
        <v>43700</v>
      </c>
      <c r="FB152" s="51">
        <v>34790</v>
      </c>
      <c r="FC152" s="51">
        <v>35910</v>
      </c>
      <c r="FD152" s="51">
        <v>34750</v>
      </c>
      <c r="FE152" s="49">
        <v>33090</v>
      </c>
      <c r="FF152" s="49">
        <v>33625</v>
      </c>
      <c r="FG152" s="49"/>
      <c r="FH152" s="49"/>
      <c r="FI152" s="49"/>
    </row>
    <row r="153" spans="2:166" x14ac:dyDescent="0.25">
      <c r="B153" s="38" t="s">
        <v>751</v>
      </c>
      <c r="DB153" s="95">
        <v>161.91</v>
      </c>
      <c r="DC153" s="95">
        <v>179.9</v>
      </c>
      <c r="DD153" s="95">
        <v>222</v>
      </c>
      <c r="DE153" s="95">
        <v>224.2</v>
      </c>
      <c r="DF153" s="95">
        <v>268.89999999999998</v>
      </c>
      <c r="DG153" s="95">
        <v>279.95</v>
      </c>
      <c r="DH153" s="95">
        <v>318.02999999999997</v>
      </c>
      <c r="DI153" s="95">
        <v>318.2</v>
      </c>
      <c r="DJ153" s="95">
        <v>361.02</v>
      </c>
      <c r="DK153" s="95">
        <v>339.99</v>
      </c>
      <c r="DL153" s="95">
        <v>465.5</v>
      </c>
      <c r="DM153" s="47">
        <v>534.29</v>
      </c>
      <c r="DN153" s="47">
        <v>580.91</v>
      </c>
      <c r="DO153" s="47">
        <v>776.64</v>
      </c>
      <c r="DP153" s="47">
        <v>905.38</v>
      </c>
      <c r="DQ153" s="47">
        <v>885.94</v>
      </c>
      <c r="DR153" s="47">
        <v>770.67</v>
      </c>
      <c r="DS153" s="47">
        <v>825.91</v>
      </c>
      <c r="FG153" s="49"/>
      <c r="FH153" s="49"/>
      <c r="FI153" s="49"/>
    </row>
    <row r="154" spans="2:166" x14ac:dyDescent="0.25">
      <c r="B154" s="38" t="s">
        <v>173</v>
      </c>
      <c r="DB154" s="51">
        <f t="shared" ref="DB154:DS154" si="567">+DB153*DB83</f>
        <v>147757.60881000001</v>
      </c>
      <c r="DC154" s="51">
        <f t="shared" si="567"/>
        <v>164140.76</v>
      </c>
      <c r="DD154" s="51">
        <f t="shared" si="567"/>
        <v>202105.24799999999</v>
      </c>
      <c r="DE154" s="51">
        <f t="shared" si="567"/>
        <v>204190.37419999999</v>
      </c>
      <c r="DF154" s="51">
        <f t="shared" si="567"/>
        <v>244579.33949999997</v>
      </c>
      <c r="DG154" s="51">
        <f t="shared" si="567"/>
        <v>253746.68</v>
      </c>
      <c r="DH154" s="51">
        <f t="shared" si="567"/>
        <v>287162.00819999998</v>
      </c>
      <c r="DI154" s="51">
        <f t="shared" si="567"/>
        <v>287583.43239999999</v>
      </c>
      <c r="DJ154" s="51">
        <f t="shared" si="567"/>
        <v>326626.34663999995</v>
      </c>
      <c r="DK154" s="51">
        <f t="shared" si="567"/>
        <v>307107.18716999999</v>
      </c>
      <c r="DL154" s="51">
        <f t="shared" si="567"/>
        <v>420206.38449999999</v>
      </c>
      <c r="DM154" s="51">
        <f t="shared" si="567"/>
        <v>482303.04870999994</v>
      </c>
      <c r="DN154" s="51">
        <f t="shared" si="567"/>
        <v>525131.02179999999</v>
      </c>
      <c r="DO154" s="51">
        <f t="shared" si="567"/>
        <v>701928.78527999995</v>
      </c>
      <c r="DP154" s="51">
        <f t="shared" si="567"/>
        <v>818688.05424000008</v>
      </c>
      <c r="DQ154" s="51">
        <f t="shared" si="567"/>
        <v>801799.62038000009</v>
      </c>
      <c r="DR154" s="51">
        <f t="shared" si="567"/>
        <v>696731.14952999994</v>
      </c>
      <c r="DS154" s="51">
        <f t="shared" si="567"/>
        <v>743814.54599999997</v>
      </c>
      <c r="FG154" s="49"/>
      <c r="FH154" s="49"/>
      <c r="FI154" s="49"/>
    </row>
    <row r="155" spans="2:166" x14ac:dyDescent="0.25">
      <c r="B155" s="38" t="s">
        <v>786</v>
      </c>
      <c r="ED155" s="109">
        <v>1</v>
      </c>
      <c r="EE155" s="109">
        <v>1.1000000000000001</v>
      </c>
      <c r="EF155" s="109">
        <v>1.21</v>
      </c>
      <c r="EG155" s="109">
        <v>1.25</v>
      </c>
      <c r="EH155" s="109">
        <v>1.31</v>
      </c>
      <c r="EK155" s="109">
        <v>0.8</v>
      </c>
      <c r="EL155" s="109">
        <v>0.92</v>
      </c>
      <c r="EM155" s="109">
        <v>1.04</v>
      </c>
      <c r="EN155" s="95">
        <v>1.1200000000000001</v>
      </c>
      <c r="EO155" s="95">
        <v>1.24</v>
      </c>
      <c r="FH155" s="49"/>
      <c r="FI155" s="49"/>
    </row>
    <row r="156" spans="2:166" x14ac:dyDescent="0.25">
      <c r="FH156" s="49"/>
      <c r="FI156" s="49"/>
    </row>
    <row r="157" spans="2:166" s="49" customFormat="1" x14ac:dyDescent="0.25">
      <c r="B157" s="50" t="s">
        <v>973</v>
      </c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1"/>
      <c r="CN157" s="51"/>
      <c r="CO157" s="51"/>
      <c r="CP157" s="51"/>
      <c r="CQ157" s="51"/>
      <c r="CR157" s="51"/>
      <c r="CS157" s="51"/>
      <c r="CT157" s="51"/>
      <c r="CU157" s="51"/>
      <c r="CV157" s="51"/>
      <c r="CW157" s="51"/>
      <c r="CX157" s="51"/>
      <c r="CY157" s="51"/>
      <c r="CZ157" s="51"/>
      <c r="DA157" s="51"/>
      <c r="DB157" s="51"/>
      <c r="DC157" s="51"/>
      <c r="DD157" s="51"/>
      <c r="DE157" s="51"/>
      <c r="DF157" s="51">
        <f>16811-DE157-DD157-DC157</f>
        <v>16811</v>
      </c>
      <c r="DG157" s="51">
        <v>5174.6000000000004</v>
      </c>
      <c r="DH157" s="51">
        <v>3934.8</v>
      </c>
      <c r="DI157" s="51">
        <v>4422.1000000000004</v>
      </c>
      <c r="DJ157" s="51">
        <f>18190-DI157-DH157-DG157</f>
        <v>4658.4999999999982</v>
      </c>
      <c r="DK157" s="51">
        <v>4436.2</v>
      </c>
      <c r="DL157" s="51">
        <v>5531.4</v>
      </c>
      <c r="DM157" s="51">
        <v>5368.1</v>
      </c>
      <c r="DN157" s="51">
        <f>21791-DM157-DL157-DK157</f>
        <v>6455.300000000002</v>
      </c>
      <c r="DO157" s="51">
        <v>5694.4</v>
      </c>
      <c r="DP157" s="51">
        <v>7835</v>
      </c>
      <c r="DQ157" s="51">
        <v>7813.6</v>
      </c>
      <c r="DR157" s="51">
        <f>30375.2-DQ157-DP157-DO157</f>
        <v>9032.1999999999989</v>
      </c>
      <c r="DS157" s="51">
        <v>8489.4</v>
      </c>
      <c r="DT157" s="51"/>
      <c r="DU157" s="51"/>
      <c r="DV157" s="51"/>
      <c r="EN157" s="51"/>
      <c r="EO157" s="51"/>
      <c r="EP157" s="51"/>
      <c r="EQ157" s="51"/>
      <c r="ER157" s="51"/>
      <c r="ES157" s="51"/>
      <c r="ET157" s="51"/>
      <c r="EU157" s="51"/>
      <c r="EV157" s="51"/>
      <c r="EW157" s="51"/>
      <c r="EX157" s="51"/>
      <c r="EY157" s="51"/>
      <c r="EZ157" s="51"/>
      <c r="FA157" s="51"/>
      <c r="FB157" s="51"/>
      <c r="FC157" s="51"/>
      <c r="FD157" s="51"/>
    </row>
    <row r="158" spans="2:166" s="49" customFormat="1" x14ac:dyDescent="0.25">
      <c r="B158" s="50" t="s">
        <v>974</v>
      </c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  <c r="CC158" s="51"/>
      <c r="CD158" s="51"/>
      <c r="CE158" s="51"/>
      <c r="CF158" s="51"/>
      <c r="CG158" s="51"/>
      <c r="CH158" s="51"/>
      <c r="CI158" s="51"/>
      <c r="CJ158" s="51"/>
      <c r="CK158" s="51"/>
      <c r="CL158" s="51"/>
      <c r="CM158" s="51"/>
      <c r="CN158" s="51"/>
      <c r="CO158" s="51"/>
      <c r="CP158" s="51"/>
      <c r="CQ158" s="51"/>
      <c r="CR158" s="51"/>
      <c r="CS158" s="51"/>
      <c r="CT158" s="51"/>
      <c r="CU158" s="51"/>
      <c r="CV158" s="51"/>
      <c r="CW158" s="51"/>
      <c r="CX158" s="51"/>
      <c r="CY158" s="51"/>
      <c r="CZ158" s="51"/>
      <c r="DA158" s="51"/>
      <c r="DB158" s="51"/>
      <c r="DC158" s="51"/>
      <c r="DD158" s="51"/>
      <c r="DE158" s="51"/>
      <c r="DF158" s="51">
        <f>4776.8-DE158-DD158-DC158</f>
        <v>4776.8</v>
      </c>
      <c r="DG158" s="51">
        <v>1067.3</v>
      </c>
      <c r="DH158" s="51">
        <v>1101.0999999999999</v>
      </c>
      <c r="DI158" s="51">
        <v>1056.4000000000001</v>
      </c>
      <c r="DJ158" s="51">
        <f>4299.2-DI158-DH158-DG158</f>
        <v>1074.3999999999999</v>
      </c>
      <c r="DK158" s="51">
        <v>1090.9000000000001</v>
      </c>
      <c r="DL158" s="51">
        <v>1177.5999999999999</v>
      </c>
      <c r="DM158" s="51">
        <v>2568.6</v>
      </c>
      <c r="DN158" s="51">
        <f>6174.7-DM158-DL158-DK158</f>
        <v>1337.6</v>
      </c>
      <c r="DO158" s="51">
        <v>1440.7</v>
      </c>
      <c r="DP158" s="51">
        <v>1404</v>
      </c>
      <c r="DQ158" s="51">
        <v>1628.3</v>
      </c>
      <c r="DR158" s="51">
        <f>6920.7-DQ158-DP158-DO158</f>
        <v>2447.6999999999998</v>
      </c>
      <c r="DS158" s="51">
        <v>2388.6999999999998</v>
      </c>
      <c r="DT158" s="51"/>
      <c r="DU158" s="51"/>
      <c r="DV158" s="51"/>
      <c r="EN158" s="51"/>
      <c r="EO158" s="51"/>
      <c r="EP158" s="51"/>
      <c r="EQ158" s="51"/>
      <c r="ER158" s="51"/>
      <c r="ES158" s="51"/>
      <c r="ET158" s="51"/>
      <c r="EU158" s="51"/>
      <c r="EV158" s="51"/>
      <c r="EW158" s="51"/>
      <c r="EX158" s="51"/>
      <c r="EY158" s="51"/>
      <c r="EZ158" s="51"/>
      <c r="FA158" s="51"/>
      <c r="FB158" s="51"/>
      <c r="FC158" s="51"/>
      <c r="FD158" s="51"/>
    </row>
    <row r="159" spans="2:166" s="49" customFormat="1" x14ac:dyDescent="0.25">
      <c r="B159" s="50" t="s">
        <v>975</v>
      </c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51"/>
      <c r="CJ159" s="51"/>
      <c r="CK159" s="51"/>
      <c r="CL159" s="51"/>
      <c r="CM159" s="51"/>
      <c r="CN159" s="51"/>
      <c r="CO159" s="51"/>
      <c r="CP159" s="51"/>
      <c r="CQ159" s="51"/>
      <c r="CR159" s="51"/>
      <c r="CS159" s="51"/>
      <c r="CT159" s="51"/>
      <c r="CU159" s="51"/>
      <c r="CV159" s="51"/>
      <c r="CW159" s="51"/>
      <c r="CX159" s="51"/>
      <c r="CY159" s="51"/>
      <c r="CZ159" s="51"/>
      <c r="DA159" s="51"/>
      <c r="DB159" s="51"/>
      <c r="DC159" s="51"/>
      <c r="DD159" s="51"/>
      <c r="DE159" s="51"/>
      <c r="DF159" s="51">
        <f>2367-DE159-DD159-DC159</f>
        <v>2367</v>
      </c>
      <c r="DG159" s="51">
        <v>410.2</v>
      </c>
      <c r="DH159" s="51">
        <v>454.4</v>
      </c>
      <c r="DI159" s="51">
        <v>487.7</v>
      </c>
      <c r="DJ159" s="51">
        <f>1747.3-DI159-DH159-DG159</f>
        <v>394.99999999999994</v>
      </c>
      <c r="DK159" s="51">
        <v>387.2</v>
      </c>
      <c r="DL159" s="51">
        <v>455.6</v>
      </c>
      <c r="DM159" s="51">
        <v>390.8</v>
      </c>
      <c r="DN159" s="51">
        <f>1672.6-DM159-DL159-DK159</f>
        <v>438.99999999999994</v>
      </c>
      <c r="DO159" s="51">
        <v>363.9</v>
      </c>
      <c r="DP159" s="51">
        <v>463</v>
      </c>
      <c r="DQ159" s="51">
        <v>429.1</v>
      </c>
      <c r="DR159" s="51">
        <f>1814.9-DQ159-DP159-DO159</f>
        <v>558.9000000000002</v>
      </c>
      <c r="DS159" s="51">
        <v>402.2</v>
      </c>
      <c r="DT159" s="51"/>
      <c r="DU159" s="51"/>
      <c r="DV159" s="51"/>
      <c r="EN159" s="51"/>
      <c r="EO159" s="51"/>
      <c r="EP159" s="51"/>
      <c r="EQ159" s="51"/>
      <c r="ER159" s="51"/>
      <c r="ES159" s="51"/>
      <c r="ET159" s="51"/>
      <c r="EU159" s="51"/>
      <c r="EV159" s="51"/>
      <c r="EW159" s="51"/>
      <c r="EX159" s="51"/>
      <c r="EY159" s="51"/>
      <c r="EZ159" s="51"/>
      <c r="FA159" s="51"/>
      <c r="FB159" s="51"/>
      <c r="FC159" s="51"/>
      <c r="FD159" s="51"/>
    </row>
    <row r="160" spans="2:166" s="49" customFormat="1" x14ac:dyDescent="0.25">
      <c r="B160" s="50" t="s">
        <v>549</v>
      </c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51"/>
      <c r="BW160" s="51"/>
      <c r="BX160" s="51"/>
      <c r="BY160" s="51"/>
      <c r="BZ160" s="51"/>
      <c r="CA160" s="51"/>
      <c r="CB160" s="51"/>
      <c r="CC160" s="51"/>
      <c r="CD160" s="51"/>
      <c r="CE160" s="51"/>
      <c r="CF160" s="51"/>
      <c r="CG160" s="51"/>
      <c r="CH160" s="51"/>
      <c r="CI160" s="51"/>
      <c r="CJ160" s="51"/>
      <c r="CK160" s="51"/>
      <c r="CL160" s="51"/>
      <c r="CM160" s="51"/>
      <c r="CN160" s="51"/>
      <c r="CO160" s="51"/>
      <c r="CP160" s="51"/>
      <c r="CQ160" s="51"/>
      <c r="CR160" s="51"/>
      <c r="CS160" s="51"/>
      <c r="CT160" s="51"/>
      <c r="CU160" s="51"/>
      <c r="CV160" s="51"/>
      <c r="CW160" s="51"/>
      <c r="CX160" s="51"/>
      <c r="CY160" s="51"/>
      <c r="CZ160" s="51"/>
      <c r="DA160" s="51"/>
      <c r="DB160" s="51"/>
      <c r="DC160" s="51"/>
      <c r="DD160" s="51"/>
      <c r="DE160" s="51"/>
      <c r="DF160" s="51">
        <f>1661.4-DE160-DD160-DC160</f>
        <v>1661.4</v>
      </c>
      <c r="DG160" s="51">
        <v>406.5</v>
      </c>
      <c r="DH160" s="51">
        <v>352.1</v>
      </c>
      <c r="DI160" s="51">
        <v>343.4</v>
      </c>
      <c r="DJ160" s="51">
        <f>1452.8-DI160-DH160-DG160</f>
        <v>350.80000000000007</v>
      </c>
      <c r="DK160" s="51">
        <v>372.7</v>
      </c>
      <c r="DL160" s="51">
        <v>399</v>
      </c>
      <c r="DM160" s="51">
        <v>390.8</v>
      </c>
      <c r="DN160" s="51">
        <f>1539.7-DM160-DL160-DK160</f>
        <v>377.2000000000001</v>
      </c>
      <c r="DO160" s="51">
        <v>376.2</v>
      </c>
      <c r="DP160" s="51">
        <v>395</v>
      </c>
      <c r="DQ160" s="51">
        <v>459.9</v>
      </c>
      <c r="DR160" s="51">
        <f>1660.4-DQ160-DP160-DO160</f>
        <v>429.3</v>
      </c>
      <c r="DS160" s="51">
        <v>450.8</v>
      </c>
      <c r="DT160" s="51"/>
      <c r="DU160" s="51"/>
      <c r="DV160" s="51"/>
      <c r="EN160" s="51"/>
      <c r="EO160" s="51"/>
      <c r="EP160" s="51"/>
      <c r="EQ160" s="51"/>
      <c r="ER160" s="51"/>
      <c r="ES160" s="51"/>
      <c r="ET160" s="51"/>
      <c r="EU160" s="51"/>
      <c r="EV160" s="51"/>
      <c r="EW160" s="51"/>
      <c r="EX160" s="51"/>
      <c r="EY160" s="51"/>
      <c r="EZ160" s="51"/>
      <c r="FA160" s="51"/>
      <c r="FB160" s="51"/>
      <c r="FC160" s="51"/>
      <c r="FD160" s="51"/>
    </row>
    <row r="161" spans="2:160" s="49" customFormat="1" x14ac:dyDescent="0.25">
      <c r="B161" s="50" t="s">
        <v>976</v>
      </c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51"/>
      <c r="BW161" s="51"/>
      <c r="BX161" s="51"/>
      <c r="BY161" s="51"/>
      <c r="BZ161" s="51"/>
      <c r="CA161" s="51"/>
      <c r="CB161" s="51"/>
      <c r="CC161" s="51"/>
      <c r="CD161" s="51"/>
      <c r="CE161" s="51"/>
      <c r="CF161" s="51"/>
      <c r="CG161" s="51"/>
      <c r="CH161" s="51"/>
      <c r="CI161" s="51"/>
      <c r="CJ161" s="51"/>
      <c r="CK161" s="51"/>
      <c r="CL161" s="51"/>
      <c r="CM161" s="51"/>
      <c r="CN161" s="51"/>
      <c r="CO161" s="51"/>
      <c r="CP161" s="51"/>
      <c r="CQ161" s="51"/>
      <c r="CR161" s="51"/>
      <c r="CS161" s="51"/>
      <c r="CT161" s="51"/>
      <c r="CU161" s="51"/>
      <c r="CV161" s="51"/>
      <c r="CW161" s="51"/>
      <c r="CX161" s="51"/>
      <c r="CY161" s="51"/>
      <c r="CZ161" s="51"/>
      <c r="DA161" s="51"/>
      <c r="DB161" s="51"/>
      <c r="DC161" s="51"/>
      <c r="DD161" s="51"/>
      <c r="DE161" s="51"/>
      <c r="DF161" s="51">
        <f>2702.2-DE161-DD161-DC161</f>
        <v>2702.2</v>
      </c>
      <c r="DG161" s="51">
        <v>751.5</v>
      </c>
      <c r="DH161" s="51">
        <v>645.70000000000005</v>
      </c>
      <c r="DI161" s="51">
        <v>632</v>
      </c>
      <c r="DJ161" s="51">
        <f>2852-DI161-DH161-DG161</f>
        <v>822.8</v>
      </c>
      <c r="DK161" s="51">
        <v>673.1</v>
      </c>
      <c r="DL161" s="51">
        <v>748.5</v>
      </c>
      <c r="DM161" s="51">
        <v>780.3</v>
      </c>
      <c r="DN161" s="51">
        <f>2946.2-DM161-DL161-DK161</f>
        <v>744.29999999999961</v>
      </c>
      <c r="DO161" s="51">
        <v>892.9</v>
      </c>
      <c r="DP161" s="51">
        <v>1206</v>
      </c>
      <c r="DQ161" s="51">
        <v>1108.2</v>
      </c>
      <c r="DR161" s="51">
        <f>4271.4-DQ161-DP161-DO161</f>
        <v>1064.2999999999997</v>
      </c>
      <c r="DS161" s="51">
        <v>997.4</v>
      </c>
      <c r="DT161" s="51"/>
      <c r="DU161" s="51"/>
      <c r="DV161" s="51"/>
      <c r="EN161" s="51"/>
      <c r="EO161" s="51"/>
      <c r="EP161" s="51"/>
      <c r="EQ161" s="51"/>
      <c r="ER161" s="51"/>
      <c r="ES161" s="51"/>
      <c r="ET161" s="51"/>
      <c r="EU161" s="51"/>
      <c r="EV161" s="51"/>
      <c r="EW161" s="51"/>
      <c r="EX161" s="51"/>
      <c r="EY161" s="51"/>
      <c r="EZ161" s="51"/>
      <c r="FA161" s="51"/>
      <c r="FB161" s="51"/>
      <c r="FC161" s="51"/>
      <c r="FD161" s="51"/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29DC-F561-0C42-9377-8753A3B4D074}">
  <dimension ref="A1:I82"/>
  <sheetViews>
    <sheetView topLeftCell="A41" zoomScale="130" zoomScaleNormal="130" workbookViewId="0">
      <selection activeCell="H44" sqref="H44"/>
    </sheetView>
  </sheetViews>
  <sheetFormatPr defaultColWidth="11.453125" defaultRowHeight="12.5" x14ac:dyDescent="0.25"/>
  <cols>
    <col min="1" max="1" width="4.81640625" bestFit="1" customWidth="1"/>
    <col min="2" max="2" width="12.26953125" bestFit="1" customWidth="1"/>
    <col min="3" max="3" width="19" customWidth="1"/>
  </cols>
  <sheetData>
    <row r="1" spans="1:4" x14ac:dyDescent="0.25">
      <c r="A1" s="13" t="s">
        <v>6</v>
      </c>
    </row>
    <row r="2" spans="1:4" x14ac:dyDescent="0.25">
      <c r="B2" s="38" t="s">
        <v>402</v>
      </c>
      <c r="C2" s="38" t="s">
        <v>1089</v>
      </c>
    </row>
    <row r="3" spans="1:4" x14ac:dyDescent="0.25">
      <c r="B3" s="38" t="s">
        <v>403</v>
      </c>
      <c r="C3" s="38" t="s">
        <v>541</v>
      </c>
    </row>
    <row r="4" spans="1:4" x14ac:dyDescent="0.25">
      <c r="B4" s="38" t="s">
        <v>1</v>
      </c>
      <c r="C4" s="38" t="s">
        <v>36</v>
      </c>
    </row>
    <row r="5" spans="1:4" x14ac:dyDescent="0.25">
      <c r="B5" s="38"/>
      <c r="C5" s="38"/>
      <c r="D5" s="38" t="s">
        <v>1041</v>
      </c>
    </row>
    <row r="6" spans="1:4" x14ac:dyDescent="0.25">
      <c r="B6" s="38"/>
      <c r="C6" s="38" t="s">
        <v>518</v>
      </c>
    </row>
    <row r="7" spans="1:4" x14ac:dyDescent="0.25">
      <c r="B7" s="38"/>
      <c r="C7" s="38"/>
      <c r="D7" s="38" t="s">
        <v>1042</v>
      </c>
    </row>
    <row r="8" spans="1:4" x14ac:dyDescent="0.25">
      <c r="B8" s="38"/>
      <c r="C8" s="38" t="s">
        <v>1005</v>
      </c>
    </row>
    <row r="9" spans="1:4" x14ac:dyDescent="0.25">
      <c r="B9" s="38"/>
      <c r="C9" s="38"/>
      <c r="D9" s="38" t="s">
        <v>1004</v>
      </c>
    </row>
    <row r="10" spans="1:4" x14ac:dyDescent="0.25">
      <c r="B10" s="38"/>
      <c r="C10" s="38" t="s">
        <v>1060</v>
      </c>
      <c r="D10" s="38"/>
    </row>
    <row r="11" spans="1:4" x14ac:dyDescent="0.25">
      <c r="B11" s="38"/>
      <c r="C11" s="38"/>
      <c r="D11" s="38" t="s">
        <v>1061</v>
      </c>
    </row>
    <row r="12" spans="1:4" x14ac:dyDescent="0.25">
      <c r="B12" s="38" t="s">
        <v>405</v>
      </c>
      <c r="C12" s="38" t="s">
        <v>912</v>
      </c>
    </row>
    <row r="13" spans="1:4" x14ac:dyDescent="0.25">
      <c r="B13" s="38" t="s">
        <v>917</v>
      </c>
      <c r="C13" s="38" t="s">
        <v>918</v>
      </c>
    </row>
    <row r="14" spans="1:4" x14ac:dyDescent="0.25">
      <c r="B14" s="38" t="s">
        <v>164</v>
      </c>
      <c r="C14" s="38"/>
    </row>
    <row r="15" spans="1:4" x14ac:dyDescent="0.25">
      <c r="B15" s="38"/>
      <c r="C15" s="38"/>
    </row>
    <row r="16" spans="1:4" x14ac:dyDescent="0.25">
      <c r="B16" s="38"/>
      <c r="C16" s="38"/>
    </row>
    <row r="17" spans="2:3" x14ac:dyDescent="0.25">
      <c r="B17" s="38"/>
      <c r="C17" s="38"/>
    </row>
    <row r="18" spans="2:3" x14ac:dyDescent="0.25">
      <c r="B18" s="38" t="s">
        <v>92</v>
      </c>
    </row>
    <row r="19" spans="2:3" ht="13" x14ac:dyDescent="0.3">
      <c r="C19" s="20" t="s">
        <v>551</v>
      </c>
    </row>
    <row r="20" spans="2:3" x14ac:dyDescent="0.25">
      <c r="C20" s="38" t="s">
        <v>552</v>
      </c>
    </row>
    <row r="22" spans="2:3" ht="13" x14ac:dyDescent="0.3">
      <c r="C22" s="20" t="s">
        <v>1007</v>
      </c>
    </row>
    <row r="23" spans="2:3" x14ac:dyDescent="0.25">
      <c r="C23" s="38" t="s">
        <v>1006</v>
      </c>
    </row>
    <row r="25" spans="2:3" ht="13" x14ac:dyDescent="0.3">
      <c r="C25" s="20" t="s">
        <v>913</v>
      </c>
    </row>
    <row r="26" spans="2:3" x14ac:dyDescent="0.25">
      <c r="C26" s="38" t="s">
        <v>910</v>
      </c>
    </row>
    <row r="27" spans="2:3" x14ac:dyDescent="0.25">
      <c r="C27" s="38" t="s">
        <v>911</v>
      </c>
    </row>
    <row r="29" spans="2:3" ht="13" x14ac:dyDescent="0.3">
      <c r="C29" s="20" t="s">
        <v>1040</v>
      </c>
    </row>
    <row r="30" spans="2:3" x14ac:dyDescent="0.25">
      <c r="C30" s="38" t="s">
        <v>1039</v>
      </c>
    </row>
    <row r="32" spans="2:3" ht="13" x14ac:dyDescent="0.3">
      <c r="C32" s="20" t="s">
        <v>1059</v>
      </c>
    </row>
    <row r="33" spans="2:9" x14ac:dyDescent="0.25">
      <c r="C33" s="38" t="s">
        <v>1055</v>
      </c>
    </row>
    <row r="34" spans="2:9" x14ac:dyDescent="0.25">
      <c r="C34" s="38" t="s">
        <v>1056</v>
      </c>
    </row>
    <row r="35" spans="2:9" x14ac:dyDescent="0.25">
      <c r="C35" s="38" t="s">
        <v>1057</v>
      </c>
    </row>
    <row r="36" spans="2:9" x14ac:dyDescent="0.25">
      <c r="C36" s="38" t="s">
        <v>1058</v>
      </c>
    </row>
    <row r="38" spans="2:9" ht="13" x14ac:dyDescent="0.3">
      <c r="C38" s="20" t="s">
        <v>1090</v>
      </c>
    </row>
    <row r="42" spans="2:9" x14ac:dyDescent="0.25">
      <c r="B42" s="118" t="s">
        <v>164</v>
      </c>
    </row>
    <row r="43" spans="2:9" x14ac:dyDescent="0.25">
      <c r="B43" s="119" t="s">
        <v>541</v>
      </c>
      <c r="C43" s="47" t="s">
        <v>165</v>
      </c>
      <c r="D43" s="47" t="s">
        <v>1270</v>
      </c>
      <c r="E43" s="48" t="s">
        <v>1273</v>
      </c>
      <c r="F43" s="48" t="s">
        <v>1271</v>
      </c>
      <c r="G43" s="48" t="s">
        <v>379</v>
      </c>
      <c r="H43" s="48" t="s">
        <v>1271</v>
      </c>
      <c r="I43" s="48" t="s">
        <v>1272</v>
      </c>
    </row>
    <row r="44" spans="2:9" ht="13" x14ac:dyDescent="0.3">
      <c r="B44" s="132">
        <v>45809</v>
      </c>
      <c r="C44" s="47">
        <v>4002</v>
      </c>
      <c r="D44" s="47">
        <v>5829</v>
      </c>
      <c r="E44">
        <f>SUM(D44:D46)</f>
        <v>17010</v>
      </c>
      <c r="F44" s="134">
        <f>E44/E47-1</f>
        <v>0.2331448455850369</v>
      </c>
      <c r="G44" s="47">
        <f>4442+2612</f>
        <v>7054</v>
      </c>
      <c r="H44" s="134">
        <f>G44/G47-1</f>
        <v>0.14624634384140389</v>
      </c>
      <c r="I44" s="63">
        <f>+G44/E44</f>
        <v>0.41469723691945914</v>
      </c>
    </row>
    <row r="45" spans="2:9" ht="13" x14ac:dyDescent="0.3">
      <c r="B45" s="132">
        <v>45778</v>
      </c>
      <c r="C45" s="47">
        <v>3959</v>
      </c>
      <c r="D45" s="47">
        <v>5826</v>
      </c>
      <c r="F45" s="135"/>
      <c r="G45" s="47"/>
      <c r="H45" s="47"/>
      <c r="I45" s="47"/>
    </row>
    <row r="46" spans="2:9" ht="13" x14ac:dyDescent="0.3">
      <c r="B46" s="132">
        <v>45748</v>
      </c>
      <c r="C46" s="47">
        <v>3641</v>
      </c>
      <c r="D46" s="47">
        <v>5355</v>
      </c>
      <c r="F46" s="135"/>
      <c r="G46" s="47"/>
      <c r="H46" s="47"/>
      <c r="I46" s="47"/>
    </row>
    <row r="47" spans="2:9" ht="13" x14ac:dyDescent="0.3">
      <c r="B47" s="132">
        <v>45717</v>
      </c>
      <c r="C47" s="47">
        <v>3440</v>
      </c>
      <c r="D47" s="47">
        <v>5035</v>
      </c>
      <c r="E47">
        <f>SUM(D47:D49)</f>
        <v>13794</v>
      </c>
      <c r="F47" s="134">
        <f>E47/E50-1</f>
        <v>0.11674222797927469</v>
      </c>
      <c r="G47" s="47">
        <f>3842+2312</f>
        <v>6154</v>
      </c>
      <c r="H47" s="134">
        <f>G47/G50-1</f>
        <v>0.13187419532830602</v>
      </c>
      <c r="I47" s="63">
        <f>+G47/E47</f>
        <v>0.44613600115992458</v>
      </c>
    </row>
    <row r="48" spans="2:9" ht="13" x14ac:dyDescent="0.3">
      <c r="B48" s="132">
        <v>45689</v>
      </c>
      <c r="C48" s="47">
        <v>2960</v>
      </c>
      <c r="D48" s="47">
        <v>4345</v>
      </c>
      <c r="F48" s="135"/>
      <c r="G48" s="47"/>
      <c r="H48" s="47"/>
      <c r="I48" s="47"/>
    </row>
    <row r="49" spans="2:9" ht="13" x14ac:dyDescent="0.3">
      <c r="B49" s="132">
        <v>45658</v>
      </c>
      <c r="C49" s="47">
        <v>3000</v>
      </c>
      <c r="D49" s="47">
        <v>4414</v>
      </c>
      <c r="F49" s="121"/>
    </row>
    <row r="50" spans="2:9" ht="13" x14ac:dyDescent="0.3">
      <c r="B50" s="132">
        <v>45627</v>
      </c>
      <c r="C50" s="47">
        <v>2916</v>
      </c>
      <c r="D50" s="47">
        <v>4260</v>
      </c>
      <c r="E50">
        <f>SUM(D50:D52)</f>
        <v>12352</v>
      </c>
      <c r="F50" s="133">
        <f>E50/E53-1</f>
        <v>0.17862595419847338</v>
      </c>
      <c r="G50">
        <f>3530+1907</f>
        <v>5437</v>
      </c>
      <c r="H50" s="133">
        <f>G50/G53-1</f>
        <v>0.24388011896591166</v>
      </c>
      <c r="I50" s="77">
        <f>+G50/E50</f>
        <v>0.44017163212435234</v>
      </c>
    </row>
    <row r="51" spans="2:9" ht="13" x14ac:dyDescent="0.3">
      <c r="B51" s="132">
        <v>45597</v>
      </c>
      <c r="C51" s="47">
        <v>2735</v>
      </c>
      <c r="D51" s="47">
        <v>4048</v>
      </c>
      <c r="F51" s="121"/>
    </row>
    <row r="52" spans="2:9" ht="13" x14ac:dyDescent="0.3">
      <c r="B52" s="132">
        <v>45566</v>
      </c>
      <c r="C52" s="47">
        <v>2745</v>
      </c>
      <c r="D52" s="47">
        <v>4044</v>
      </c>
      <c r="F52" s="121"/>
    </row>
    <row r="53" spans="2:9" ht="13" x14ac:dyDescent="0.3">
      <c r="B53" s="132">
        <v>45536</v>
      </c>
      <c r="D53" s="47">
        <v>3537</v>
      </c>
      <c r="E53">
        <f>SUM(D53:D55)</f>
        <v>10480</v>
      </c>
      <c r="F53" s="133">
        <f>E53/E56-1</f>
        <v>0.23657817109144541</v>
      </c>
      <c r="G53">
        <f>3113+1258</f>
        <v>4371</v>
      </c>
      <c r="H53" s="133">
        <f>G53/G56-1</f>
        <v>8.5371481310567709E-3</v>
      </c>
      <c r="I53" s="77">
        <f>+G53/E53</f>
        <v>0.41708015267175574</v>
      </c>
    </row>
    <row r="54" spans="2:9" ht="13" x14ac:dyDescent="0.3">
      <c r="B54" s="132">
        <v>45505</v>
      </c>
      <c r="D54" s="47">
        <v>3572</v>
      </c>
      <c r="F54" s="121"/>
    </row>
    <row r="55" spans="2:9" ht="13" x14ac:dyDescent="0.3">
      <c r="B55" s="132">
        <v>45474</v>
      </c>
      <c r="D55" s="47">
        <v>3371</v>
      </c>
      <c r="F55" s="121"/>
    </row>
    <row r="56" spans="2:9" ht="13" x14ac:dyDescent="0.3">
      <c r="B56" s="132">
        <v>45444</v>
      </c>
      <c r="D56" s="47">
        <v>3043</v>
      </c>
      <c r="E56">
        <f>SUM(D56:D58)</f>
        <v>8475</v>
      </c>
      <c r="F56" s="133">
        <f>E56/E59-1</f>
        <v>0.26624831913939939</v>
      </c>
      <c r="G56">
        <f>3091+1243</f>
        <v>4334</v>
      </c>
      <c r="H56" s="133">
        <f>G56/G59-1</f>
        <v>0.8648881239242685</v>
      </c>
      <c r="I56" s="77">
        <f>+G56/E56</f>
        <v>0.51138643067846612</v>
      </c>
    </row>
    <row r="57" spans="2:9" x14ac:dyDescent="0.25">
      <c r="B57" s="132">
        <v>45413</v>
      </c>
      <c r="D57" s="47">
        <v>2984</v>
      </c>
    </row>
    <row r="58" spans="2:9" x14ac:dyDescent="0.25">
      <c r="B58" s="132">
        <v>45383</v>
      </c>
      <c r="D58" s="47">
        <v>2448</v>
      </c>
    </row>
    <row r="59" spans="2:9" x14ac:dyDescent="0.25">
      <c r="B59" s="132">
        <v>45352</v>
      </c>
      <c r="D59" s="47">
        <v>2246</v>
      </c>
      <c r="E59">
        <f>SUM(D59:D61)</f>
        <v>6693</v>
      </c>
      <c r="G59">
        <f>1807+517</f>
        <v>2324</v>
      </c>
      <c r="I59" s="77">
        <f>+G59/E59</f>
        <v>0.34722844763185418</v>
      </c>
    </row>
    <row r="60" spans="2:9" x14ac:dyDescent="0.25">
      <c r="B60" s="132">
        <v>45323</v>
      </c>
      <c r="D60" s="47">
        <v>2159</v>
      </c>
    </row>
    <row r="61" spans="2:9" x14ac:dyDescent="0.25">
      <c r="B61" s="132">
        <v>45292</v>
      </c>
      <c r="D61" s="47">
        <v>2288</v>
      </c>
    </row>
    <row r="63" spans="2:9" x14ac:dyDescent="0.25">
      <c r="B63" s="118"/>
    </row>
    <row r="64" spans="2:9" x14ac:dyDescent="0.25">
      <c r="B64" s="119"/>
      <c r="C64" s="47"/>
      <c r="D64" s="47"/>
      <c r="F64" s="38"/>
      <c r="H64" s="38"/>
      <c r="I64" s="38"/>
    </row>
    <row r="65" spans="2:9" ht="13" x14ac:dyDescent="0.3">
      <c r="B65" s="132"/>
      <c r="C65" s="47"/>
      <c r="D65" s="47"/>
      <c r="F65" s="133"/>
      <c r="H65" s="133"/>
      <c r="I65" s="77"/>
    </row>
    <row r="66" spans="2:9" ht="13" x14ac:dyDescent="0.3">
      <c r="B66" s="132"/>
      <c r="C66" s="47"/>
      <c r="D66" s="47"/>
      <c r="F66" s="121"/>
    </row>
    <row r="67" spans="2:9" ht="13" x14ac:dyDescent="0.3">
      <c r="B67" s="132"/>
      <c r="C67" s="47"/>
      <c r="D67" s="47"/>
      <c r="F67" s="121"/>
    </row>
    <row r="68" spans="2:9" ht="13" x14ac:dyDescent="0.3">
      <c r="B68" s="132"/>
      <c r="C68" s="47"/>
      <c r="D68" s="47"/>
      <c r="F68" s="133"/>
      <c r="H68" s="133"/>
      <c r="I68" s="77"/>
    </row>
    <row r="69" spans="2:9" ht="13" x14ac:dyDescent="0.3">
      <c r="B69" s="132"/>
      <c r="C69" s="47"/>
      <c r="D69" s="47"/>
      <c r="F69" s="121"/>
    </row>
    <row r="70" spans="2:9" ht="13" x14ac:dyDescent="0.3">
      <c r="B70" s="132"/>
      <c r="C70" s="47"/>
      <c r="D70" s="47"/>
      <c r="F70" s="121"/>
    </row>
    <row r="71" spans="2:9" ht="13" x14ac:dyDescent="0.3">
      <c r="B71" s="132"/>
      <c r="C71" s="47"/>
      <c r="D71" s="47"/>
      <c r="F71" s="133"/>
      <c r="H71" s="133"/>
      <c r="I71" s="77"/>
    </row>
    <row r="72" spans="2:9" ht="13" x14ac:dyDescent="0.3">
      <c r="B72" s="132"/>
      <c r="C72" s="47"/>
      <c r="D72" s="47"/>
      <c r="F72" s="121"/>
    </row>
    <row r="73" spans="2:9" ht="13" x14ac:dyDescent="0.3">
      <c r="B73" s="132"/>
      <c r="C73" s="47"/>
      <c r="D73" s="47"/>
      <c r="F73" s="121"/>
    </row>
    <row r="74" spans="2:9" ht="13" x14ac:dyDescent="0.3">
      <c r="B74" s="132"/>
      <c r="D74" s="47"/>
      <c r="F74" s="133"/>
      <c r="H74" s="133"/>
      <c r="I74" s="77"/>
    </row>
    <row r="75" spans="2:9" ht="13" x14ac:dyDescent="0.3">
      <c r="B75" s="132"/>
      <c r="D75" s="47"/>
      <c r="F75" s="121"/>
    </row>
    <row r="76" spans="2:9" ht="13" x14ac:dyDescent="0.3">
      <c r="B76" s="132"/>
      <c r="D76" s="47"/>
      <c r="F76" s="121"/>
    </row>
    <row r="77" spans="2:9" ht="13" x14ac:dyDescent="0.3">
      <c r="B77" s="132"/>
      <c r="D77" s="47"/>
      <c r="F77" s="133"/>
      <c r="H77" s="133"/>
      <c r="I77" s="77"/>
    </row>
    <row r="78" spans="2:9" x14ac:dyDescent="0.25">
      <c r="B78" s="132"/>
      <c r="D78" s="47"/>
    </row>
    <row r="79" spans="2:9" x14ac:dyDescent="0.25">
      <c r="B79" s="132"/>
      <c r="D79" s="47"/>
    </row>
    <row r="80" spans="2:9" x14ac:dyDescent="0.25">
      <c r="B80" s="132"/>
      <c r="D80" s="47"/>
      <c r="I80" s="77"/>
    </row>
    <row r="81" spans="2:4" x14ac:dyDescent="0.25">
      <c r="B81" s="132"/>
      <c r="D81" s="47"/>
    </row>
    <row r="82" spans="2:4" x14ac:dyDescent="0.25">
      <c r="B82" s="132"/>
      <c r="D82" s="47"/>
    </row>
  </sheetData>
  <hyperlinks>
    <hyperlink ref="A1" location="Main!A1" display="Main" xr:uid="{0A6163B6-E50F-1F43-98A2-A57105F8C1A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A0E9-541B-3548-94E2-8624993FA62F}">
  <dimension ref="A1:FM49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8" sqref="F18"/>
    </sheetView>
  </sheetViews>
  <sheetFormatPr defaultColWidth="11.453125" defaultRowHeight="12.5" x14ac:dyDescent="0.25"/>
  <cols>
    <col min="1" max="1" width="4.81640625" bestFit="1" customWidth="1"/>
    <col min="7" max="13" width="6.81640625" style="47" customWidth="1"/>
    <col min="14" max="31" width="7.1796875" customWidth="1"/>
    <col min="32" max="48" width="6.26953125" customWidth="1"/>
    <col min="49" max="50" width="5.453125" customWidth="1"/>
    <col min="52" max="71" width="7.453125" customWidth="1"/>
    <col min="72" max="75" width="6.81640625" customWidth="1"/>
    <col min="76" max="118" width="6" customWidth="1"/>
  </cols>
  <sheetData>
    <row r="1" spans="1:169" x14ac:dyDescent="0.25">
      <c r="A1" s="13" t="s">
        <v>6</v>
      </c>
    </row>
    <row r="2" spans="1:169" x14ac:dyDescent="0.25">
      <c r="B2" s="38" t="s">
        <v>402</v>
      </c>
      <c r="C2" s="38" t="s">
        <v>403</v>
      </c>
      <c r="D2" s="38" t="s">
        <v>574</v>
      </c>
      <c r="E2" s="38" t="s">
        <v>575</v>
      </c>
      <c r="F2" s="38" t="s">
        <v>51</v>
      </c>
      <c r="G2" s="48" t="s">
        <v>638</v>
      </c>
      <c r="H2" s="48" t="s">
        <v>639</v>
      </c>
      <c r="I2" s="48" t="s">
        <v>640</v>
      </c>
      <c r="J2" s="48" t="s">
        <v>641</v>
      </c>
      <c r="K2" s="48" t="s">
        <v>643</v>
      </c>
      <c r="L2" s="48" t="s">
        <v>644</v>
      </c>
      <c r="M2" s="48"/>
      <c r="N2" s="48" t="s">
        <v>601</v>
      </c>
      <c r="O2" s="48" t="s">
        <v>602</v>
      </c>
      <c r="P2" s="48" t="s">
        <v>603</v>
      </c>
      <c r="Q2" s="48" t="s">
        <v>604</v>
      </c>
      <c r="R2" s="48" t="s">
        <v>605</v>
      </c>
      <c r="S2" s="48" t="s">
        <v>606</v>
      </c>
      <c r="T2" s="48" t="s">
        <v>607</v>
      </c>
      <c r="U2" s="48" t="s">
        <v>608</v>
      </c>
      <c r="V2" s="48" t="s">
        <v>609</v>
      </c>
      <c r="W2" s="48" t="s">
        <v>610</v>
      </c>
      <c r="X2" s="48" t="s">
        <v>611</v>
      </c>
      <c r="Y2" s="48" t="s">
        <v>612</v>
      </c>
      <c r="Z2" s="48" t="s">
        <v>613</v>
      </c>
      <c r="AA2" s="48" t="s">
        <v>614</v>
      </c>
      <c r="AB2" s="48" t="s">
        <v>615</v>
      </c>
      <c r="AC2" s="48" t="s">
        <v>616</v>
      </c>
      <c r="AD2" s="48" t="s">
        <v>617</v>
      </c>
      <c r="AE2" s="48" t="s">
        <v>618</v>
      </c>
      <c r="AF2" s="48" t="s">
        <v>619</v>
      </c>
      <c r="AG2" s="48" t="s">
        <v>620</v>
      </c>
      <c r="AH2" s="48" t="s">
        <v>621</v>
      </c>
      <c r="AI2" s="48" t="s">
        <v>622</v>
      </c>
      <c r="AJ2" s="48" t="s">
        <v>623</v>
      </c>
      <c r="AK2" s="48" t="s">
        <v>624</v>
      </c>
      <c r="AL2" s="48" t="s">
        <v>625</v>
      </c>
      <c r="AM2" s="48" t="s">
        <v>626</v>
      </c>
      <c r="AN2" s="48" t="s">
        <v>627</v>
      </c>
      <c r="AO2" s="48" t="s">
        <v>628</v>
      </c>
      <c r="AP2" s="48" t="s">
        <v>629</v>
      </c>
      <c r="AQ2" s="48" t="s">
        <v>630</v>
      </c>
      <c r="AR2" s="48" t="s">
        <v>631</v>
      </c>
      <c r="AS2" s="48" t="s">
        <v>632</v>
      </c>
      <c r="AT2" s="48" t="s">
        <v>633</v>
      </c>
      <c r="AU2" s="48" t="s">
        <v>634</v>
      </c>
      <c r="AV2" s="48" t="s">
        <v>635</v>
      </c>
      <c r="AW2" s="48" t="s">
        <v>636</v>
      </c>
      <c r="AX2" s="48" t="s">
        <v>637</v>
      </c>
      <c r="AZ2" s="48" t="s">
        <v>700</v>
      </c>
      <c r="BA2" s="48" t="s">
        <v>701</v>
      </c>
      <c r="BB2" s="48" t="s">
        <v>702</v>
      </c>
      <c r="BC2" s="48" t="s">
        <v>703</v>
      </c>
      <c r="BD2" s="48" t="s">
        <v>696</v>
      </c>
      <c r="BE2" s="48" t="s">
        <v>697</v>
      </c>
      <c r="BF2" s="48" t="s">
        <v>698</v>
      </c>
      <c r="BG2" s="48" t="s">
        <v>699</v>
      </c>
      <c r="BH2" s="48" t="s">
        <v>695</v>
      </c>
      <c r="BI2" s="48" t="s">
        <v>694</v>
      </c>
      <c r="BJ2" s="48" t="s">
        <v>693</v>
      </c>
      <c r="BK2" s="48" t="s">
        <v>692</v>
      </c>
      <c r="BL2" s="48" t="s">
        <v>691</v>
      </c>
      <c r="BM2" s="48" t="s">
        <v>690</v>
      </c>
      <c r="BN2" s="48" t="s">
        <v>689</v>
      </c>
      <c r="BO2" s="48" t="s">
        <v>688</v>
      </c>
      <c r="BP2" s="48" t="s">
        <v>516</v>
      </c>
      <c r="BQ2" s="48" t="s">
        <v>515</v>
      </c>
      <c r="BR2" s="48" t="s">
        <v>514</v>
      </c>
      <c r="BS2" s="48" t="s">
        <v>513</v>
      </c>
      <c r="BT2" s="48" t="s">
        <v>384</v>
      </c>
      <c r="BU2" s="48" t="s">
        <v>383</v>
      </c>
      <c r="BV2" s="48" t="s">
        <v>382</v>
      </c>
      <c r="BW2" s="48" t="s">
        <v>381</v>
      </c>
      <c r="BX2" s="48" t="s">
        <v>364</v>
      </c>
      <c r="BY2" s="48" t="s">
        <v>363</v>
      </c>
      <c r="BZ2" s="48" t="s">
        <v>362</v>
      </c>
      <c r="CA2" s="48" t="s">
        <v>330</v>
      </c>
      <c r="CB2" s="48" t="s">
        <v>361</v>
      </c>
      <c r="CC2" s="48" t="s">
        <v>360</v>
      </c>
      <c r="CD2" s="48" t="s">
        <v>359</v>
      </c>
      <c r="CE2" s="48" t="s">
        <v>358</v>
      </c>
      <c r="CF2" s="48" t="s">
        <v>357</v>
      </c>
      <c r="CG2" s="48" t="s">
        <v>356</v>
      </c>
      <c r="CH2" s="48" t="s">
        <v>355</v>
      </c>
      <c r="CI2" s="48" t="s">
        <v>354</v>
      </c>
      <c r="CJ2" s="48" t="s">
        <v>353</v>
      </c>
      <c r="CK2" s="48" t="s">
        <v>352</v>
      </c>
      <c r="CL2" s="48" t="s">
        <v>351</v>
      </c>
      <c r="CM2" s="48" t="s">
        <v>350</v>
      </c>
      <c r="CN2" s="48" t="s">
        <v>349</v>
      </c>
      <c r="CO2" s="48" t="s">
        <v>348</v>
      </c>
      <c r="CP2" s="48" t="s">
        <v>347</v>
      </c>
      <c r="CQ2" s="48" t="s">
        <v>346</v>
      </c>
      <c r="CR2" s="48" t="s">
        <v>345</v>
      </c>
      <c r="CS2" s="48" t="s">
        <v>344</v>
      </c>
      <c r="CT2" s="48" t="s">
        <v>343</v>
      </c>
      <c r="CU2" s="48" t="s">
        <v>342</v>
      </c>
      <c r="CV2" s="48" t="s">
        <v>341</v>
      </c>
      <c r="CW2" s="48" t="s">
        <v>340</v>
      </c>
      <c r="CX2" s="48" t="s">
        <v>339</v>
      </c>
      <c r="CY2" s="48" t="s">
        <v>338</v>
      </c>
      <c r="CZ2" s="48" t="s">
        <v>337</v>
      </c>
      <c r="DA2" s="48" t="s">
        <v>336</v>
      </c>
      <c r="DB2" s="48" t="s">
        <v>335</v>
      </c>
      <c r="DC2" s="48" t="s">
        <v>334</v>
      </c>
      <c r="DD2" s="48" t="s">
        <v>333</v>
      </c>
      <c r="DE2" s="48" t="s">
        <v>332</v>
      </c>
      <c r="DF2" s="48" t="s">
        <v>329</v>
      </c>
      <c r="DG2" s="48" t="s">
        <v>331</v>
      </c>
      <c r="DH2" s="48" t="s">
        <v>320</v>
      </c>
      <c r="DI2" s="48" t="s">
        <v>319</v>
      </c>
      <c r="DJ2" s="48" t="s">
        <v>318</v>
      </c>
      <c r="DK2" s="48" t="s">
        <v>317</v>
      </c>
      <c r="DL2" s="48" t="s">
        <v>316</v>
      </c>
      <c r="DM2" s="48" t="s">
        <v>315</v>
      </c>
      <c r="DN2" s="48" t="s">
        <v>314</v>
      </c>
      <c r="DO2" s="48" t="s">
        <v>313</v>
      </c>
      <c r="DP2" s="48" t="s">
        <v>272</v>
      </c>
      <c r="DQ2" s="48" t="s">
        <v>271</v>
      </c>
      <c r="DR2" s="48" t="s">
        <v>270</v>
      </c>
      <c r="DS2" s="48" t="s">
        <v>269</v>
      </c>
      <c r="DT2" s="48" t="s">
        <v>260</v>
      </c>
      <c r="DU2" s="48" t="s">
        <v>259</v>
      </c>
      <c r="DV2" s="48" t="s">
        <v>258</v>
      </c>
      <c r="DW2" s="48" t="s">
        <v>257</v>
      </c>
      <c r="DX2" s="48" t="s">
        <v>247</v>
      </c>
      <c r="DY2" s="48" t="s">
        <v>246</v>
      </c>
      <c r="DZ2" s="48" t="s">
        <v>245</v>
      </c>
      <c r="EA2" s="48" t="s">
        <v>244</v>
      </c>
      <c r="EB2" s="48" t="s">
        <v>200</v>
      </c>
      <c r="EC2" s="48" t="s">
        <v>199</v>
      </c>
      <c r="ED2" s="48" t="s">
        <v>198</v>
      </c>
      <c r="EE2" s="48" t="s">
        <v>197</v>
      </c>
      <c r="EF2" s="48" t="s">
        <v>186</v>
      </c>
      <c r="EG2" s="48" t="s">
        <v>185</v>
      </c>
      <c r="EH2" s="48" t="s">
        <v>163</v>
      </c>
      <c r="EI2" s="48" t="s">
        <v>128</v>
      </c>
      <c r="EJ2" s="48" t="s">
        <v>98</v>
      </c>
      <c r="EK2" s="48" t="s">
        <v>96</v>
      </c>
      <c r="EL2" s="48" t="s">
        <v>97</v>
      </c>
      <c r="EM2" s="48" t="s">
        <v>100</v>
      </c>
      <c r="EN2" s="48" t="s">
        <v>99</v>
      </c>
      <c r="EO2" s="48" t="s">
        <v>124</v>
      </c>
      <c r="EP2" s="48" t="s">
        <v>125</v>
      </c>
      <c r="EQ2" s="48" t="s">
        <v>126</v>
      </c>
      <c r="ER2" s="48" t="s">
        <v>127</v>
      </c>
      <c r="ES2" s="48" t="s">
        <v>201</v>
      </c>
      <c r="ET2" s="48" t="s">
        <v>202</v>
      </c>
      <c r="EU2" s="48" t="s">
        <v>203</v>
      </c>
      <c r="EV2" s="48" t="s">
        <v>509</v>
      </c>
      <c r="EW2" s="48" t="s">
        <v>510</v>
      </c>
      <c r="EX2" s="48" t="s">
        <v>511</v>
      </c>
      <c r="EY2" s="48" t="s">
        <v>512</v>
      </c>
      <c r="EZ2" s="48" t="s">
        <v>646</v>
      </c>
      <c r="FA2" s="48" t="s">
        <v>647</v>
      </c>
      <c r="FB2" s="48" t="s">
        <v>648</v>
      </c>
      <c r="FC2" s="48" t="s">
        <v>649</v>
      </c>
      <c r="FD2" s="48" t="s">
        <v>650</v>
      </c>
      <c r="FE2" s="48" t="s">
        <v>651</v>
      </c>
      <c r="FF2" s="48" t="s">
        <v>652</v>
      </c>
      <c r="FG2" s="48" t="s">
        <v>653</v>
      </c>
      <c r="FH2" s="48" t="s">
        <v>654</v>
      </c>
      <c r="FI2" s="48" t="s">
        <v>655</v>
      </c>
      <c r="FJ2" s="48" t="s">
        <v>656</v>
      </c>
      <c r="FK2" s="48" t="s">
        <v>645</v>
      </c>
      <c r="FL2" s="48" t="s">
        <v>657</v>
      </c>
      <c r="FM2" s="48" t="s">
        <v>658</v>
      </c>
    </row>
    <row r="3" spans="1:169" s="55" customFormat="1" ht="13" x14ac:dyDescent="0.3">
      <c r="B3" s="55" t="s">
        <v>642</v>
      </c>
      <c r="G3" s="56">
        <f t="shared" ref="G3:L3" si="0">AVERAGE(G4:G32)</f>
        <v>1020.1404761904763</v>
      </c>
      <c r="H3" s="56">
        <f t="shared" si="0"/>
        <v>2269.5761904761907</v>
      </c>
      <c r="I3" s="56">
        <f t="shared" si="0"/>
        <v>4689.7314285714292</v>
      </c>
      <c r="J3" s="56">
        <f t="shared" si="0"/>
        <v>3898.2428571428568</v>
      </c>
      <c r="K3" s="56">
        <f t="shared" si="0"/>
        <v>3212.1085714285718</v>
      </c>
      <c r="L3" s="56">
        <f t="shared" si="0"/>
        <v>4214.9800000000005</v>
      </c>
      <c r="M3" s="56"/>
      <c r="N3" s="56">
        <f>SUM(N4:N36)</f>
        <v>479.71428571428572</v>
      </c>
      <c r="O3" s="56">
        <f t="shared" ref="O3:AX3" si="1">SUM(O4:O36)</f>
        <v>1097.7142857142856</v>
      </c>
      <c r="P3" s="56">
        <f t="shared" si="1"/>
        <v>2229.9857142857145</v>
      </c>
      <c r="Q3" s="56">
        <f t="shared" si="1"/>
        <v>3038</v>
      </c>
      <c r="R3" s="56">
        <f t="shared" si="1"/>
        <v>4680.971428571429</v>
      </c>
      <c r="S3" s="56">
        <f t="shared" si="1"/>
        <v>3250.042857142857</v>
      </c>
      <c r="T3" s="56">
        <f t="shared" si="1"/>
        <v>4023.4714285714285</v>
      </c>
      <c r="U3" s="56">
        <f t="shared" si="1"/>
        <v>3956.457142857143</v>
      </c>
      <c r="V3" s="56">
        <f t="shared" si="1"/>
        <v>5928.1428571428569</v>
      </c>
      <c r="W3" s="56">
        <f t="shared" si="1"/>
        <v>6713.7571428571437</v>
      </c>
      <c r="X3" s="56">
        <f t="shared" si="1"/>
        <v>7614.3428571428567</v>
      </c>
      <c r="Y3" s="56">
        <f t="shared" si="1"/>
        <v>4382.4142857142861</v>
      </c>
      <c r="Z3" s="56">
        <f t="shared" si="1"/>
        <v>5790.5714285714284</v>
      </c>
      <c r="AA3" s="56">
        <f t="shared" si="1"/>
        <v>7420.1571428571424</v>
      </c>
      <c r="AB3" s="56">
        <f t="shared" si="1"/>
        <v>8099.6571428571433</v>
      </c>
      <c r="AC3" s="56">
        <f t="shared" si="1"/>
        <v>7993.4857142857136</v>
      </c>
      <c r="AD3" s="56">
        <f t="shared" si="1"/>
        <v>9046.6999999999989</v>
      </c>
      <c r="AE3" s="56">
        <f>SUM(AE4:AE36)</f>
        <v>10903.414285714287</v>
      </c>
      <c r="AF3" s="56">
        <f t="shared" si="1"/>
        <v>3834.2142857142858</v>
      </c>
      <c r="AG3" s="56">
        <f t="shared" si="1"/>
        <v>4168.7857142857138</v>
      </c>
      <c r="AH3" s="56">
        <f t="shared" si="1"/>
        <v>4624.1000000000004</v>
      </c>
      <c r="AI3" s="56">
        <f t="shared" si="1"/>
        <v>5524.4</v>
      </c>
      <c r="AJ3" s="56">
        <f t="shared" si="1"/>
        <v>5524.8</v>
      </c>
      <c r="AK3" s="56">
        <f t="shared" si="1"/>
        <v>5401.6</v>
      </c>
      <c r="AL3" s="56">
        <f t="shared" si="1"/>
        <v>1502.4</v>
      </c>
      <c r="AM3" s="56">
        <f t="shared" si="1"/>
        <v>1452.4</v>
      </c>
      <c r="AN3" s="56">
        <f t="shared" si="1"/>
        <v>1535.6</v>
      </c>
      <c r="AO3" s="56">
        <f t="shared" si="1"/>
        <v>1600.1</v>
      </c>
      <c r="AP3" s="56">
        <f t="shared" si="1"/>
        <v>1883.7</v>
      </c>
      <c r="AQ3" s="56">
        <f t="shared" si="1"/>
        <v>1741.3</v>
      </c>
      <c r="AR3" s="56">
        <f t="shared" si="1"/>
        <v>1911.9</v>
      </c>
      <c r="AS3" s="56">
        <f t="shared" si="1"/>
        <v>1850.4</v>
      </c>
      <c r="AT3" s="56">
        <f t="shared" si="1"/>
        <v>1936.2</v>
      </c>
      <c r="AU3" s="56">
        <f t="shared" si="1"/>
        <v>1977.1</v>
      </c>
      <c r="AV3" s="56">
        <f t="shared" si="1"/>
        <v>1812.5</v>
      </c>
      <c r="AW3" s="56">
        <f t="shared" si="1"/>
        <v>1673.6</v>
      </c>
      <c r="AX3" s="56">
        <f t="shared" si="1"/>
        <v>0</v>
      </c>
      <c r="AZ3" s="56">
        <f t="shared" ref="AZ3:BT3" si="2">SUM(AZ4:AZ15)</f>
        <v>19189.985714285714</v>
      </c>
      <c r="BA3" s="56">
        <f t="shared" si="2"/>
        <v>18689.985714285714</v>
      </c>
      <c r="BB3" s="56">
        <f t="shared" si="2"/>
        <v>18189.985714285714</v>
      </c>
      <c r="BC3" s="56">
        <f t="shared" si="2"/>
        <v>17689.985714285714</v>
      </c>
      <c r="BD3" s="56">
        <f t="shared" si="2"/>
        <v>17189.985714285714</v>
      </c>
      <c r="BE3" s="56">
        <f t="shared" si="2"/>
        <v>16689.985714285714</v>
      </c>
      <c r="BF3" s="56">
        <f t="shared" si="2"/>
        <v>16189.985714285714</v>
      </c>
      <c r="BG3" s="56">
        <f t="shared" si="2"/>
        <v>15689.985714285714</v>
      </c>
      <c r="BH3" s="56">
        <f t="shared" si="2"/>
        <v>15189.985714285714</v>
      </c>
      <c r="BI3" s="56">
        <f t="shared" si="2"/>
        <v>14689.985714285714</v>
      </c>
      <c r="BJ3" s="56">
        <f t="shared" si="2"/>
        <v>14189.985714285714</v>
      </c>
      <c r="BK3" s="56">
        <f t="shared" si="2"/>
        <v>13689.985714285714</v>
      </c>
      <c r="BL3" s="56">
        <f t="shared" si="2"/>
        <v>13189.985714285714</v>
      </c>
      <c r="BM3" s="56">
        <f t="shared" si="2"/>
        <v>12689.985714285714</v>
      </c>
      <c r="BN3" s="56">
        <f t="shared" si="2"/>
        <v>12189.985714285714</v>
      </c>
      <c r="BO3" s="56">
        <f t="shared" si="2"/>
        <v>11689.985714285714</v>
      </c>
      <c r="BP3" s="56">
        <f t="shared" si="2"/>
        <v>11189.985714285714</v>
      </c>
      <c r="BQ3" s="56">
        <f t="shared" si="2"/>
        <v>10539.985714285714</v>
      </c>
      <c r="BR3" s="56">
        <f t="shared" si="2"/>
        <v>10089.985714285714</v>
      </c>
      <c r="BS3" s="56">
        <f t="shared" si="2"/>
        <v>9639.9857142857145</v>
      </c>
      <c r="BT3" s="56">
        <f t="shared" si="2"/>
        <v>9189.9857142857145</v>
      </c>
      <c r="BU3" s="56">
        <f t="shared" ref="BU3:DH3" si="3">SUM(BU4:BU15)</f>
        <v>7141.1857142857152</v>
      </c>
      <c r="BV3" s="56">
        <f t="shared" si="3"/>
        <v>6519.1999999999989</v>
      </c>
      <c r="BW3" s="56">
        <f t="shared" si="3"/>
        <v>5973.6</v>
      </c>
      <c r="BX3" s="56">
        <f t="shared" si="3"/>
        <v>5219.5428571428574</v>
      </c>
      <c r="BY3" s="56">
        <f t="shared" si="3"/>
        <v>4809.2714285714292</v>
      </c>
      <c r="BZ3" s="56">
        <f t="shared" si="3"/>
        <v>4288.0428571428574</v>
      </c>
      <c r="CA3" s="56">
        <f t="shared" si="3"/>
        <v>3755.2999999999997</v>
      </c>
      <c r="CB3" s="56">
        <f t="shared" si="3"/>
        <v>3674.9857142857145</v>
      </c>
      <c r="CC3" s="56">
        <f t="shared" si="3"/>
        <v>3061.9571428571426</v>
      </c>
      <c r="CD3" s="56">
        <f t="shared" si="3"/>
        <v>2732.7428571428572</v>
      </c>
      <c r="CE3" s="56">
        <f t="shared" si="3"/>
        <v>2508.2571428571432</v>
      </c>
      <c r="CF3" s="56">
        <f t="shared" si="3"/>
        <v>2505.6857142857143</v>
      </c>
      <c r="CG3" s="56">
        <f t="shared" si="3"/>
        <v>1947.4571428571428</v>
      </c>
      <c r="CH3" s="56">
        <f t="shared" si="3"/>
        <v>1971.3714285714286</v>
      </c>
      <c r="CI3" s="56">
        <f t="shared" si="3"/>
        <v>1941.4</v>
      </c>
      <c r="CJ3" s="56">
        <f t="shared" si="3"/>
        <v>1838.8142857142855</v>
      </c>
      <c r="CK3" s="56">
        <f t="shared" si="3"/>
        <v>1457.5</v>
      </c>
      <c r="CL3" s="56">
        <f t="shared" si="3"/>
        <v>1360.6428571428571</v>
      </c>
      <c r="CM3" s="56">
        <f t="shared" si="3"/>
        <v>1083.2714285714287</v>
      </c>
      <c r="CN3" s="56">
        <f t="shared" si="3"/>
        <v>1066.4142857142858</v>
      </c>
      <c r="CO3" s="56">
        <f t="shared" si="3"/>
        <v>893.34285714285716</v>
      </c>
      <c r="CP3" s="56">
        <f t="shared" si="3"/>
        <v>779.8</v>
      </c>
      <c r="CQ3" s="56">
        <f t="shared" si="3"/>
        <v>678.3</v>
      </c>
      <c r="CR3" s="56">
        <f t="shared" si="3"/>
        <v>649</v>
      </c>
      <c r="CS3" s="56">
        <f t="shared" si="3"/>
        <v>527.70000000000005</v>
      </c>
      <c r="CT3" s="56">
        <f t="shared" si="3"/>
        <v>480.2</v>
      </c>
      <c r="CU3" s="56">
        <f t="shared" si="3"/>
        <v>372.9</v>
      </c>
      <c r="CV3" s="56">
        <f t="shared" si="3"/>
        <v>337</v>
      </c>
      <c r="CW3" s="56">
        <f t="shared" si="3"/>
        <v>243.6</v>
      </c>
      <c r="CX3" s="56">
        <f t="shared" si="3"/>
        <v>201.3</v>
      </c>
      <c r="CY3" s="56">
        <f t="shared" si="3"/>
        <v>143.6</v>
      </c>
      <c r="CZ3" s="56">
        <f t="shared" si="3"/>
        <v>112.5</v>
      </c>
      <c r="DA3" s="56">
        <f t="shared" si="3"/>
        <v>73.7</v>
      </c>
      <c r="DB3" s="56">
        <f t="shared" si="3"/>
        <v>44.3</v>
      </c>
      <c r="DC3" s="56">
        <f t="shared" si="3"/>
        <v>18.3</v>
      </c>
      <c r="DD3" s="56">
        <f t="shared" si="3"/>
        <v>10.199999999999999</v>
      </c>
      <c r="DE3" s="56">
        <f t="shared" si="3"/>
        <v>0</v>
      </c>
      <c r="DF3" s="56">
        <f t="shared" si="3"/>
        <v>0</v>
      </c>
      <c r="DG3" s="56">
        <f t="shared" si="3"/>
        <v>0</v>
      </c>
      <c r="DH3" s="56">
        <f t="shared" si="3"/>
        <v>0</v>
      </c>
    </row>
    <row r="4" spans="1:169" x14ac:dyDescent="0.25">
      <c r="B4" s="38"/>
      <c r="C4" s="38"/>
      <c r="D4" s="38"/>
      <c r="E4" s="38"/>
      <c r="F4" s="3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</row>
    <row r="5" spans="1:169" x14ac:dyDescent="0.25">
      <c r="B5" s="38" t="s">
        <v>70</v>
      </c>
      <c r="C5" s="38" t="s">
        <v>221</v>
      </c>
      <c r="D5" s="83">
        <v>38470</v>
      </c>
      <c r="E5" s="38" t="s">
        <v>578</v>
      </c>
    </row>
    <row r="6" spans="1:169" x14ac:dyDescent="0.25">
      <c r="B6" s="38" t="s">
        <v>566</v>
      </c>
      <c r="C6" s="38" t="s">
        <v>573</v>
      </c>
      <c r="D6" s="83">
        <v>40203</v>
      </c>
      <c r="E6" s="38" t="s">
        <v>580</v>
      </c>
    </row>
    <row r="7" spans="1:169" x14ac:dyDescent="0.25">
      <c r="B7" s="38" t="s">
        <v>570</v>
      </c>
      <c r="C7" s="38" t="s">
        <v>221</v>
      </c>
      <c r="D7" s="83">
        <v>40935</v>
      </c>
      <c r="E7" s="38" t="s">
        <v>578</v>
      </c>
    </row>
    <row r="8" spans="1:169" x14ac:dyDescent="0.25">
      <c r="B8" s="38" t="s">
        <v>365</v>
      </c>
      <c r="C8" s="38" t="s">
        <v>462</v>
      </c>
      <c r="D8" s="83">
        <v>41900</v>
      </c>
      <c r="E8" s="38" t="s">
        <v>579</v>
      </c>
      <c r="G8" s="51">
        <f>SUM(N8:Q8)</f>
        <v>146.5</v>
      </c>
      <c r="H8" s="51">
        <f>SUM(R8:U8)</f>
        <v>701</v>
      </c>
      <c r="I8" s="51">
        <f>SUM(V8:Y8)</f>
        <v>1717.8</v>
      </c>
      <c r="J8" s="51">
        <f>SUM(Z8:AC8)</f>
        <v>2923.3</v>
      </c>
      <c r="K8" s="51">
        <f>SUM(AD8:AG8)</f>
        <v>3844.4</v>
      </c>
      <c r="L8" s="51">
        <f>SUM(AH8:AK8)</f>
        <v>4773.8999999999996</v>
      </c>
      <c r="M8" s="51"/>
      <c r="N8" s="49">
        <v>10.199999999999999</v>
      </c>
      <c r="O8" s="49">
        <v>18.3</v>
      </c>
      <c r="P8" s="49">
        <v>44.3</v>
      </c>
      <c r="Q8" s="49">
        <v>73.7</v>
      </c>
      <c r="R8" s="49">
        <v>112.5</v>
      </c>
      <c r="S8" s="49">
        <v>143.6</v>
      </c>
      <c r="T8" s="49">
        <v>201.3</v>
      </c>
      <c r="U8" s="49">
        <v>243.6</v>
      </c>
      <c r="V8" s="49">
        <v>337</v>
      </c>
      <c r="W8" s="49">
        <v>372.9</v>
      </c>
      <c r="X8" s="49">
        <v>480.2</v>
      </c>
      <c r="Y8" s="49">
        <v>527.70000000000005</v>
      </c>
      <c r="Z8" s="49">
        <v>649</v>
      </c>
      <c r="AA8" s="49">
        <v>678.3</v>
      </c>
      <c r="AB8" s="49">
        <v>779.8</v>
      </c>
      <c r="AC8" s="49">
        <v>816.2</v>
      </c>
      <c r="AD8" s="49">
        <v>924.7</v>
      </c>
      <c r="AE8" s="49">
        <v>879.7</v>
      </c>
      <c r="AF8" s="49">
        <v>1028.5</v>
      </c>
      <c r="AG8" s="49">
        <v>1011.5</v>
      </c>
      <c r="AH8" s="49">
        <v>1208.0999999999999</v>
      </c>
      <c r="AI8" s="49">
        <v>1229.4000000000001</v>
      </c>
      <c r="AJ8" s="49">
        <v>1229.8</v>
      </c>
      <c r="AK8" s="49">
        <v>1106.5999999999999</v>
      </c>
      <c r="AL8" s="49">
        <v>1502.4</v>
      </c>
      <c r="AM8" s="49">
        <v>1452.4</v>
      </c>
      <c r="AN8" s="49">
        <v>1535.6</v>
      </c>
      <c r="AO8" s="49">
        <v>1600.1</v>
      </c>
      <c r="AP8" s="49">
        <v>1883.7</v>
      </c>
      <c r="AQ8" s="49">
        <v>1741.3</v>
      </c>
      <c r="AR8" s="49">
        <v>1911.9</v>
      </c>
      <c r="AS8" s="49">
        <v>1850.4</v>
      </c>
      <c r="AT8" s="49">
        <v>1936.2</v>
      </c>
      <c r="AU8" s="49">
        <v>1977.1</v>
      </c>
      <c r="AV8" s="49">
        <v>1812.5</v>
      </c>
      <c r="AW8" s="49">
        <v>1673.6</v>
      </c>
      <c r="AZ8" s="49">
        <v>1669.3</v>
      </c>
      <c r="BA8" s="49">
        <v>1669.3</v>
      </c>
      <c r="BB8" s="49">
        <v>1669.3</v>
      </c>
      <c r="BC8" s="49">
        <v>1669.3</v>
      </c>
      <c r="BD8" s="49">
        <v>1669.3</v>
      </c>
      <c r="BE8" s="49">
        <v>1669.3</v>
      </c>
      <c r="BF8" s="49">
        <v>1669.3</v>
      </c>
      <c r="BG8" s="49">
        <v>1669.3</v>
      </c>
      <c r="BH8" s="49">
        <v>1669.3</v>
      </c>
      <c r="BI8" s="49">
        <v>1669.3</v>
      </c>
      <c r="BJ8" s="49">
        <v>1669.3</v>
      </c>
      <c r="BK8" s="49">
        <v>1669.3</v>
      </c>
      <c r="BL8" s="49">
        <v>1669.3</v>
      </c>
      <c r="BM8" s="49">
        <v>1669.3</v>
      </c>
      <c r="BN8" s="49">
        <v>1669.3</v>
      </c>
      <c r="BO8" s="49">
        <v>1669.3</v>
      </c>
      <c r="BP8" s="49">
        <v>1669.3</v>
      </c>
      <c r="BQ8" s="49">
        <f>+BR8-50</f>
        <v>1519.3</v>
      </c>
      <c r="BR8" s="49">
        <f>+BS8-50</f>
        <v>1569.3</v>
      </c>
      <c r="BS8" s="49">
        <f>+BT8-50</f>
        <v>1619.3</v>
      </c>
      <c r="BT8" s="49">
        <v>1669.3</v>
      </c>
      <c r="BU8" s="49">
        <v>1673.6</v>
      </c>
      <c r="BV8" s="49">
        <v>1812.5</v>
      </c>
      <c r="BW8" s="49">
        <v>1977.1</v>
      </c>
      <c r="BX8" s="49">
        <v>1936.2</v>
      </c>
      <c r="BY8" s="49">
        <v>1850.4</v>
      </c>
      <c r="BZ8" s="49">
        <v>1911.9</v>
      </c>
      <c r="CA8" s="49">
        <v>1741.3</v>
      </c>
      <c r="CB8" s="49">
        <v>1883.7</v>
      </c>
      <c r="CC8" s="49">
        <v>1600.1</v>
      </c>
      <c r="CD8" s="49">
        <v>1535.6</v>
      </c>
      <c r="CE8" s="49">
        <v>1452.4</v>
      </c>
      <c r="CF8" s="49">
        <v>1502.4</v>
      </c>
      <c r="CG8" s="49">
        <v>1106.5999999999999</v>
      </c>
      <c r="CH8" s="49">
        <v>1229.8</v>
      </c>
      <c r="CI8" s="49">
        <v>1229.4000000000001</v>
      </c>
      <c r="CJ8" s="49">
        <v>1208.0999999999999</v>
      </c>
      <c r="CK8" s="49">
        <v>1011.5</v>
      </c>
      <c r="CL8" s="49">
        <v>1028.5</v>
      </c>
      <c r="CM8" s="49">
        <v>879.7</v>
      </c>
      <c r="CN8" s="49">
        <v>924.7</v>
      </c>
      <c r="CO8" s="49">
        <v>816.2</v>
      </c>
      <c r="CP8" s="49">
        <v>779.8</v>
      </c>
      <c r="CQ8" s="49">
        <v>678.3</v>
      </c>
      <c r="CR8" s="49">
        <v>649</v>
      </c>
      <c r="CS8" s="49">
        <v>527.70000000000005</v>
      </c>
      <c r="CT8" s="49">
        <v>480.2</v>
      </c>
      <c r="CU8" s="49">
        <v>372.9</v>
      </c>
      <c r="CV8" s="49">
        <v>337</v>
      </c>
      <c r="CW8" s="49">
        <v>243.6</v>
      </c>
      <c r="CX8" s="49">
        <v>201.3</v>
      </c>
      <c r="CY8" s="49">
        <v>143.6</v>
      </c>
      <c r="CZ8" s="49">
        <v>112.5</v>
      </c>
      <c r="DA8" s="49">
        <v>73.7</v>
      </c>
      <c r="DB8" s="49">
        <v>44.3</v>
      </c>
      <c r="DC8" s="49">
        <v>18.3</v>
      </c>
      <c r="DD8" s="49">
        <v>10.199999999999999</v>
      </c>
    </row>
    <row r="9" spans="1:169" x14ac:dyDescent="0.25">
      <c r="B9" s="38" t="s">
        <v>567</v>
      </c>
      <c r="C9" s="38" t="s">
        <v>573</v>
      </c>
      <c r="D9" s="83">
        <v>41996</v>
      </c>
      <c r="E9" s="38" t="s">
        <v>580</v>
      </c>
    </row>
    <row r="10" spans="1:169" ht="13" x14ac:dyDescent="0.3">
      <c r="B10" s="38" t="s">
        <v>569</v>
      </c>
      <c r="C10" s="38" t="s">
        <v>572</v>
      </c>
      <c r="D10" s="83">
        <v>43074</v>
      </c>
      <c r="E10" s="38" t="s">
        <v>580</v>
      </c>
      <c r="G10" s="51">
        <f>SUM(N10:Q10)</f>
        <v>754.57142857142867</v>
      </c>
      <c r="H10" s="51">
        <f>SUM(R10:U10)</f>
        <v>2439.7142857142853</v>
      </c>
      <c r="I10" s="51">
        <f>SUM(V10:Y10)</f>
        <v>3673.8571428571431</v>
      </c>
      <c r="J10" s="51">
        <f>SUM(Z10:AC10)</f>
        <v>6570.2857142857138</v>
      </c>
      <c r="K10" s="51">
        <f>SUM(AD10:AG10)</f>
        <v>10729.571428571429</v>
      </c>
      <c r="L10" s="51">
        <f>SUM(AH10:AK10)</f>
        <v>16301</v>
      </c>
      <c r="N10" s="51">
        <v>77.142857142857139</v>
      </c>
      <c r="O10" s="51">
        <v>141.71428571428572</v>
      </c>
      <c r="P10" s="51">
        <v>203.57142857142858</v>
      </c>
      <c r="Q10" s="51">
        <v>332.14285714285717</v>
      </c>
      <c r="R10" s="51">
        <v>446</v>
      </c>
      <c r="S10" s="51">
        <v>623.57142857142856</v>
      </c>
      <c r="T10" s="49">
        <v>679.28571428571433</v>
      </c>
      <c r="U10" s="49">
        <v>690.85714285714289</v>
      </c>
      <c r="V10" s="49">
        <v>776</v>
      </c>
      <c r="W10" s="49">
        <v>884</v>
      </c>
      <c r="X10" s="49">
        <v>951.71428571428567</v>
      </c>
      <c r="Y10" s="49">
        <v>1062.1428571428571</v>
      </c>
      <c r="Z10" s="49">
        <v>1270.2857142857142</v>
      </c>
      <c r="AA10" s="49">
        <v>1530.8571428571429</v>
      </c>
      <c r="AB10" s="49">
        <v>1719.2857142857142</v>
      </c>
      <c r="AC10" s="49">
        <v>2049.8571428571427</v>
      </c>
      <c r="AD10" s="49">
        <v>2341.4285714285716</v>
      </c>
      <c r="AE10" s="49">
        <v>2425.1428571428573</v>
      </c>
      <c r="AF10" s="49">
        <v>2805.7142857142858</v>
      </c>
      <c r="AG10" s="49">
        <v>3157.2857142857142</v>
      </c>
      <c r="AH10" s="49">
        <v>3416</v>
      </c>
      <c r="AI10" s="49">
        <v>4295</v>
      </c>
      <c r="AJ10" s="85">
        <f>+AI10</f>
        <v>4295</v>
      </c>
      <c r="AK10" s="85">
        <f>+AJ10</f>
        <v>4295</v>
      </c>
      <c r="AZ10" s="49">
        <f t="shared" ref="AZ10:BS10" si="4">+BA10+100</f>
        <v>6295</v>
      </c>
      <c r="BA10" s="49">
        <f t="shared" si="4"/>
        <v>6195</v>
      </c>
      <c r="BB10" s="49">
        <f t="shared" si="4"/>
        <v>6095</v>
      </c>
      <c r="BC10" s="49">
        <f t="shared" si="4"/>
        <v>5995</v>
      </c>
      <c r="BD10" s="49">
        <f t="shared" si="4"/>
        <v>5895</v>
      </c>
      <c r="BE10" s="49">
        <f t="shared" si="4"/>
        <v>5795</v>
      </c>
      <c r="BF10" s="49">
        <f t="shared" si="4"/>
        <v>5695</v>
      </c>
      <c r="BG10" s="49">
        <f t="shared" si="4"/>
        <v>5595</v>
      </c>
      <c r="BH10" s="49">
        <f t="shared" si="4"/>
        <v>5495</v>
      </c>
      <c r="BI10" s="49">
        <f t="shared" si="4"/>
        <v>5395</v>
      </c>
      <c r="BJ10" s="49">
        <f t="shared" si="4"/>
        <v>5295</v>
      </c>
      <c r="BK10" s="49">
        <f t="shared" si="4"/>
        <v>5195</v>
      </c>
      <c r="BL10" s="49">
        <f t="shared" si="4"/>
        <v>5095</v>
      </c>
      <c r="BM10" s="49">
        <f t="shared" si="4"/>
        <v>4995</v>
      </c>
      <c r="BN10" s="49">
        <f t="shared" si="4"/>
        <v>4895</v>
      </c>
      <c r="BO10" s="49">
        <f t="shared" si="4"/>
        <v>4795</v>
      </c>
      <c r="BP10" s="49">
        <f t="shared" si="4"/>
        <v>4695</v>
      </c>
      <c r="BQ10" s="49">
        <f t="shared" si="4"/>
        <v>4595</v>
      </c>
      <c r="BR10" s="49">
        <f t="shared" si="4"/>
        <v>4495</v>
      </c>
      <c r="BS10" s="49">
        <f t="shared" si="4"/>
        <v>4395</v>
      </c>
      <c r="BT10" s="49">
        <v>4295</v>
      </c>
      <c r="BU10" s="49">
        <v>3416</v>
      </c>
      <c r="BV10" s="49">
        <v>3157.2857142857142</v>
      </c>
      <c r="BW10" s="49">
        <v>2805.7142857142858</v>
      </c>
      <c r="BX10" s="49">
        <v>2425.1428571428573</v>
      </c>
      <c r="BY10" s="49">
        <v>2341.4285714285716</v>
      </c>
      <c r="BZ10" s="49">
        <v>2049.8571428571427</v>
      </c>
      <c r="CA10" s="49">
        <v>1719.2857142857142</v>
      </c>
      <c r="CB10" s="49">
        <v>1530.8571428571429</v>
      </c>
      <c r="CC10" s="49">
        <v>1270.2857142857142</v>
      </c>
      <c r="CD10" s="49">
        <v>1062.1428571428571</v>
      </c>
      <c r="CE10" s="49">
        <v>951.71428571428567</v>
      </c>
      <c r="CF10" s="49">
        <v>884</v>
      </c>
      <c r="CG10" s="49">
        <v>776</v>
      </c>
      <c r="CH10" s="49">
        <v>690.85714285714289</v>
      </c>
      <c r="CI10" s="49">
        <v>679.28571428571433</v>
      </c>
      <c r="CJ10" s="51">
        <v>623.57142857142856</v>
      </c>
      <c r="CK10" s="51">
        <v>446</v>
      </c>
      <c r="CL10" s="51">
        <v>332.14285714285717</v>
      </c>
      <c r="CM10" s="51">
        <v>203.57142857142858</v>
      </c>
      <c r="CN10" s="51">
        <v>141.71428571428572</v>
      </c>
      <c r="CO10" s="51">
        <v>77.142857142857139</v>
      </c>
      <c r="CS10" s="51"/>
      <c r="CT10" s="51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85"/>
      <c r="DL10" s="85"/>
    </row>
    <row r="11" spans="1:169" x14ac:dyDescent="0.25">
      <c r="B11" s="38" t="s">
        <v>568</v>
      </c>
      <c r="C11" s="38" t="s">
        <v>572</v>
      </c>
      <c r="D11" s="83">
        <v>43728</v>
      </c>
      <c r="E11" s="38" t="s">
        <v>580</v>
      </c>
      <c r="G11" s="51">
        <f>SUM(N11:Q11)</f>
        <v>90.571428571428584</v>
      </c>
      <c r="H11" s="51">
        <f>SUM(R11:U11)</f>
        <v>423.28571428571433</v>
      </c>
      <c r="I11" s="51">
        <f>SUM(V11:Y11)</f>
        <v>1057</v>
      </c>
      <c r="J11" s="51">
        <f>SUM(Z11:AC11)</f>
        <v>2201.1428571428573</v>
      </c>
      <c r="K11" s="51">
        <f t="shared" ref="K11:K13" si="5">SUM(AD11:AG11)</f>
        <v>1486.5714285714287</v>
      </c>
      <c r="L11" s="51">
        <f t="shared" ref="L11:L13" si="6">SUM(AH11:AK11)</f>
        <v>0</v>
      </c>
      <c r="M11" s="51"/>
      <c r="N11" s="51">
        <v>0</v>
      </c>
      <c r="O11" s="51">
        <v>7.1428571428571432</v>
      </c>
      <c r="P11" s="51">
        <v>32.714285714285715</v>
      </c>
      <c r="Q11" s="51">
        <v>50.714285714285715</v>
      </c>
      <c r="R11" s="51">
        <v>64.857142857142861</v>
      </c>
      <c r="S11" s="49">
        <v>119.28571428571429</v>
      </c>
      <c r="T11" s="49">
        <v>104.14285714285714</v>
      </c>
      <c r="U11" s="49">
        <v>135</v>
      </c>
      <c r="V11" s="49">
        <v>191.57142857142858</v>
      </c>
      <c r="W11" s="49">
        <v>260.42857142857144</v>
      </c>
      <c r="X11" s="49">
        <v>294.71428571428572</v>
      </c>
      <c r="Y11" s="49">
        <v>310.28571428571428</v>
      </c>
      <c r="Z11" s="49">
        <v>430.14285714285717</v>
      </c>
      <c r="AA11" s="49">
        <v>579</v>
      </c>
      <c r="AB11" s="49">
        <v>622.28571428571433</v>
      </c>
      <c r="AC11" s="51">
        <v>569.71428571428567</v>
      </c>
      <c r="AD11" s="51">
        <v>642.28571428571433</v>
      </c>
      <c r="AE11" s="51">
        <v>844.28571428571433</v>
      </c>
      <c r="AZ11" s="49">
        <f t="shared" ref="AZ11:BS11" si="7">+BA11+50</f>
        <v>1844.2857142857142</v>
      </c>
      <c r="BA11" s="49">
        <f t="shared" si="7"/>
        <v>1794.2857142857142</v>
      </c>
      <c r="BB11" s="49">
        <f t="shared" si="7"/>
        <v>1744.2857142857142</v>
      </c>
      <c r="BC11" s="49">
        <f t="shared" si="7"/>
        <v>1694.2857142857142</v>
      </c>
      <c r="BD11" s="49">
        <f t="shared" si="7"/>
        <v>1644.2857142857142</v>
      </c>
      <c r="BE11" s="49">
        <f t="shared" si="7"/>
        <v>1594.2857142857142</v>
      </c>
      <c r="BF11" s="49">
        <f t="shared" si="7"/>
        <v>1544.2857142857142</v>
      </c>
      <c r="BG11" s="49">
        <f t="shared" si="7"/>
        <v>1494.2857142857142</v>
      </c>
      <c r="BH11" s="49">
        <f t="shared" si="7"/>
        <v>1444.2857142857142</v>
      </c>
      <c r="BI11" s="49">
        <f t="shared" si="7"/>
        <v>1394.2857142857142</v>
      </c>
      <c r="BJ11" s="49">
        <f t="shared" si="7"/>
        <v>1344.2857142857142</v>
      </c>
      <c r="BK11" s="49">
        <f t="shared" si="7"/>
        <v>1294.2857142857142</v>
      </c>
      <c r="BL11" s="49">
        <f t="shared" si="7"/>
        <v>1244.2857142857142</v>
      </c>
      <c r="BM11" s="49">
        <f t="shared" si="7"/>
        <v>1194.2857142857142</v>
      </c>
      <c r="BN11" s="49">
        <f t="shared" si="7"/>
        <v>1144.2857142857142</v>
      </c>
      <c r="BO11" s="49">
        <f t="shared" si="7"/>
        <v>1094.2857142857142</v>
      </c>
      <c r="BP11" s="49">
        <f t="shared" si="7"/>
        <v>1044.2857142857142</v>
      </c>
      <c r="BQ11" s="49">
        <f t="shared" si="7"/>
        <v>994.28571428571433</v>
      </c>
      <c r="BR11" s="49">
        <f t="shared" si="7"/>
        <v>944.28571428571433</v>
      </c>
      <c r="BS11" s="49">
        <f t="shared" si="7"/>
        <v>894.28571428571433</v>
      </c>
      <c r="BT11" s="51">
        <v>844.28571428571433</v>
      </c>
      <c r="BU11" s="51">
        <v>642.28571428571433</v>
      </c>
      <c r="BV11" s="51">
        <v>569.71428571428567</v>
      </c>
      <c r="BW11" s="49">
        <v>622.28571428571433</v>
      </c>
      <c r="BX11" s="49">
        <v>579</v>
      </c>
      <c r="BY11" s="49">
        <v>430.14285714285717</v>
      </c>
      <c r="BZ11" s="49">
        <v>310.28571428571428</v>
      </c>
      <c r="CA11" s="49">
        <v>294.71428571428572</v>
      </c>
      <c r="CB11" s="49">
        <v>260.42857142857144</v>
      </c>
      <c r="CC11" s="49">
        <v>191.57142857142858</v>
      </c>
      <c r="CD11" s="49">
        <v>135</v>
      </c>
      <c r="CE11" s="49">
        <v>104.14285714285714</v>
      </c>
      <c r="CF11" s="49">
        <v>119.28571428571429</v>
      </c>
      <c r="CG11" s="51">
        <v>64.857142857142861</v>
      </c>
      <c r="CH11" s="51">
        <v>50.714285714285715</v>
      </c>
      <c r="CI11" s="51">
        <v>32.714285714285715</v>
      </c>
      <c r="CJ11" s="51">
        <v>7.1428571428571432</v>
      </c>
      <c r="CK11" s="51">
        <v>0</v>
      </c>
    </row>
    <row r="12" spans="1:169" x14ac:dyDescent="0.25">
      <c r="B12" s="38" t="s">
        <v>571</v>
      </c>
      <c r="C12" s="38" t="s">
        <v>572</v>
      </c>
      <c r="D12" s="83">
        <v>44351</v>
      </c>
      <c r="E12" s="38" t="s">
        <v>580</v>
      </c>
      <c r="G12" s="51">
        <f>SUM(N12:Q12)</f>
        <v>884.00000000000011</v>
      </c>
      <c r="H12" s="51">
        <f>SUM(R12:U12)</f>
        <v>651.85714285714289</v>
      </c>
      <c r="I12" s="51"/>
      <c r="J12" s="51"/>
      <c r="K12" s="51">
        <f t="shared" si="5"/>
        <v>0</v>
      </c>
      <c r="L12" s="51">
        <f t="shared" si="6"/>
        <v>0</v>
      </c>
      <c r="N12" s="49">
        <v>200.57142857142858</v>
      </c>
      <c r="O12" s="49">
        <v>168.71428571428572</v>
      </c>
      <c r="P12" s="49">
        <v>165.28571428571428</v>
      </c>
      <c r="Q12" s="49">
        <v>349.42857142857144</v>
      </c>
      <c r="R12" s="49">
        <v>651.85714285714289</v>
      </c>
      <c r="CL12" s="51"/>
      <c r="CM12" s="51"/>
      <c r="CN12" s="51"/>
      <c r="CO12" s="49"/>
      <c r="CQ12" s="49"/>
      <c r="CR12" s="49"/>
      <c r="CS12" s="49"/>
      <c r="CT12" s="49"/>
      <c r="CU12" s="49"/>
      <c r="CV12" s="49"/>
      <c r="CW12" s="49"/>
      <c r="CX12" s="49"/>
    </row>
    <row r="13" spans="1:169" ht="13" x14ac:dyDescent="0.3">
      <c r="B13" s="38" t="s">
        <v>506</v>
      </c>
      <c r="C13" s="38" t="s">
        <v>541</v>
      </c>
      <c r="D13" s="83">
        <v>44694</v>
      </c>
      <c r="E13" s="38" t="s">
        <v>579</v>
      </c>
      <c r="G13" s="51">
        <f>SUM(N13:Q13)</f>
        <v>1051</v>
      </c>
      <c r="H13" s="51">
        <f>SUM(R13:U13)</f>
        <v>6401.6</v>
      </c>
      <c r="I13" s="93">
        <v>12000</v>
      </c>
      <c r="J13" s="51"/>
      <c r="K13" s="51">
        <f t="shared" si="5"/>
        <v>0</v>
      </c>
      <c r="L13" s="51">
        <f t="shared" si="6"/>
        <v>0</v>
      </c>
      <c r="M13" s="51"/>
      <c r="N13" s="52">
        <v>16</v>
      </c>
      <c r="O13" s="52">
        <v>187.3</v>
      </c>
      <c r="P13" s="52">
        <v>279.2</v>
      </c>
      <c r="Q13" s="52">
        <v>568.5</v>
      </c>
      <c r="R13" s="52">
        <v>979.7</v>
      </c>
      <c r="S13" s="52">
        <v>1409.3</v>
      </c>
      <c r="T13" s="52">
        <v>2205.6</v>
      </c>
      <c r="U13" s="49">
        <v>1807</v>
      </c>
      <c r="V13" s="49">
        <v>3091</v>
      </c>
      <c r="W13" s="49">
        <v>3113</v>
      </c>
      <c r="X13" s="49">
        <v>3530</v>
      </c>
      <c r="AZ13" s="49">
        <f t="shared" ref="AZ13:BS13" si="8">+BA13+250</f>
        <v>7205.6</v>
      </c>
      <c r="BA13" s="49">
        <f t="shared" si="8"/>
        <v>6955.6</v>
      </c>
      <c r="BB13" s="49">
        <f t="shared" si="8"/>
        <v>6705.6</v>
      </c>
      <c r="BC13" s="49">
        <f t="shared" si="8"/>
        <v>6455.6</v>
      </c>
      <c r="BD13" s="49">
        <f t="shared" si="8"/>
        <v>6205.6</v>
      </c>
      <c r="BE13" s="49">
        <f t="shared" si="8"/>
        <v>5955.6</v>
      </c>
      <c r="BF13" s="49">
        <f t="shared" si="8"/>
        <v>5705.6</v>
      </c>
      <c r="BG13" s="49">
        <f t="shared" si="8"/>
        <v>5455.6</v>
      </c>
      <c r="BH13" s="49">
        <f t="shared" si="8"/>
        <v>5205.6000000000004</v>
      </c>
      <c r="BI13" s="49">
        <f t="shared" si="8"/>
        <v>4955.6000000000004</v>
      </c>
      <c r="BJ13" s="49">
        <f t="shared" si="8"/>
        <v>4705.6000000000004</v>
      </c>
      <c r="BK13" s="49">
        <f t="shared" si="8"/>
        <v>4455.6000000000004</v>
      </c>
      <c r="BL13" s="49">
        <f t="shared" si="8"/>
        <v>4205.6000000000004</v>
      </c>
      <c r="BM13" s="49">
        <f t="shared" si="8"/>
        <v>3955.6</v>
      </c>
      <c r="BN13" s="49">
        <f t="shared" si="8"/>
        <v>3705.6</v>
      </c>
      <c r="BO13" s="49">
        <f t="shared" si="8"/>
        <v>3455.6</v>
      </c>
      <c r="BP13" s="49">
        <f t="shared" si="8"/>
        <v>3205.6</v>
      </c>
      <c r="BQ13" s="49">
        <f t="shared" si="8"/>
        <v>2955.6</v>
      </c>
      <c r="BR13" s="49">
        <f t="shared" si="8"/>
        <v>2705.6</v>
      </c>
      <c r="BS13" s="49">
        <f t="shared" si="8"/>
        <v>2455.6</v>
      </c>
      <c r="BT13" s="52">
        <v>2205.6</v>
      </c>
      <c r="BU13" s="52">
        <v>1409.3</v>
      </c>
      <c r="BV13" s="52">
        <v>979.7</v>
      </c>
      <c r="BW13" s="52">
        <v>568.5</v>
      </c>
      <c r="BX13" s="52">
        <v>279.2</v>
      </c>
      <c r="BY13" s="52">
        <v>187.3</v>
      </c>
      <c r="BZ13" s="52">
        <v>16</v>
      </c>
      <c r="CA13" s="49"/>
      <c r="CB13" s="49"/>
      <c r="CE13" s="49"/>
      <c r="CF13" s="49"/>
      <c r="CG13" s="49"/>
      <c r="CH13" s="49"/>
      <c r="CI13" s="49"/>
      <c r="CJ13" s="49"/>
      <c r="CK13" s="49"/>
      <c r="CL13" s="49"/>
      <c r="CN13" s="49"/>
      <c r="CO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</row>
    <row r="14" spans="1:169" ht="13" x14ac:dyDescent="0.3">
      <c r="B14" s="38" t="s">
        <v>525</v>
      </c>
      <c r="C14" s="38" t="s">
        <v>541</v>
      </c>
      <c r="D14" s="83">
        <v>45238</v>
      </c>
      <c r="E14" s="38" t="s">
        <v>579</v>
      </c>
      <c r="G14" s="51">
        <f>SUM(N14:Q14)</f>
        <v>3194.2</v>
      </c>
      <c r="H14" s="93">
        <v>3000</v>
      </c>
      <c r="I14" s="93">
        <v>5000</v>
      </c>
      <c r="N14" s="52">
        <v>175.8</v>
      </c>
      <c r="O14" s="85">
        <v>517.4</v>
      </c>
      <c r="P14" s="85">
        <v>1243.2</v>
      </c>
      <c r="Q14" s="85">
        <v>1257.8</v>
      </c>
      <c r="R14" s="52">
        <v>1907.2</v>
      </c>
      <c r="AZ14" s="49">
        <f t="shared" ref="AZ14:BS14" si="9">+BA14+100</f>
        <v>2175.8000000000002</v>
      </c>
      <c r="BA14" s="49">
        <f t="shared" si="9"/>
        <v>2075.8000000000002</v>
      </c>
      <c r="BB14" s="49">
        <f t="shared" si="9"/>
        <v>1975.8</v>
      </c>
      <c r="BC14" s="49">
        <f t="shared" si="9"/>
        <v>1875.8</v>
      </c>
      <c r="BD14" s="49">
        <f t="shared" si="9"/>
        <v>1775.8</v>
      </c>
      <c r="BE14" s="49">
        <f t="shared" si="9"/>
        <v>1675.8</v>
      </c>
      <c r="BF14" s="49">
        <f t="shared" si="9"/>
        <v>1575.8</v>
      </c>
      <c r="BG14" s="49">
        <f t="shared" si="9"/>
        <v>1475.8</v>
      </c>
      <c r="BH14" s="49">
        <f t="shared" si="9"/>
        <v>1375.8</v>
      </c>
      <c r="BI14" s="49">
        <f t="shared" si="9"/>
        <v>1275.8</v>
      </c>
      <c r="BJ14" s="49">
        <f t="shared" si="9"/>
        <v>1175.8</v>
      </c>
      <c r="BK14" s="49">
        <f t="shared" si="9"/>
        <v>1075.8</v>
      </c>
      <c r="BL14" s="49">
        <f t="shared" si="9"/>
        <v>975.8</v>
      </c>
      <c r="BM14" s="49">
        <f t="shared" si="9"/>
        <v>875.8</v>
      </c>
      <c r="BN14" s="49">
        <f t="shared" si="9"/>
        <v>775.8</v>
      </c>
      <c r="BO14" s="49">
        <f t="shared" si="9"/>
        <v>675.8</v>
      </c>
      <c r="BP14" s="49">
        <f t="shared" si="9"/>
        <v>575.79999999999995</v>
      </c>
      <c r="BQ14" s="49">
        <f t="shared" si="9"/>
        <v>475.8</v>
      </c>
      <c r="BR14" s="49">
        <f t="shared" si="9"/>
        <v>375.8</v>
      </c>
      <c r="BS14" s="49">
        <f t="shared" si="9"/>
        <v>275.8</v>
      </c>
      <c r="BT14" s="52">
        <v>175.8</v>
      </c>
    </row>
    <row r="15" spans="1:169" ht="13" x14ac:dyDescent="0.3">
      <c r="B15" s="38"/>
      <c r="C15" s="38"/>
      <c r="D15" s="131" t="s">
        <v>5</v>
      </c>
      <c r="E15" s="38"/>
    </row>
    <row r="16" spans="1:169" x14ac:dyDescent="0.25">
      <c r="B16" s="38" t="s">
        <v>576</v>
      </c>
      <c r="C16" s="38" t="s">
        <v>577</v>
      </c>
      <c r="E16" s="38" t="s">
        <v>578</v>
      </c>
    </row>
    <row r="17" spans="2:72" x14ac:dyDescent="0.25">
      <c r="B17" s="38" t="s">
        <v>581</v>
      </c>
      <c r="C17" s="38" t="s">
        <v>564</v>
      </c>
      <c r="D17" s="48" t="s">
        <v>47</v>
      </c>
      <c r="E17" s="38" t="s">
        <v>579</v>
      </c>
      <c r="F17" s="38" t="s">
        <v>1269</v>
      </c>
    </row>
    <row r="18" spans="2:72" x14ac:dyDescent="0.25">
      <c r="C18" s="38" t="s">
        <v>582</v>
      </c>
    </row>
    <row r="19" spans="2:72" x14ac:dyDescent="0.25">
      <c r="B19" s="38" t="s">
        <v>583</v>
      </c>
      <c r="C19" s="38" t="s">
        <v>584</v>
      </c>
      <c r="E19" s="38" t="s">
        <v>579</v>
      </c>
      <c r="N19" t="s">
        <v>585</v>
      </c>
    </row>
    <row r="20" spans="2:72" x14ac:dyDescent="0.25">
      <c r="B20" s="38" t="s">
        <v>587</v>
      </c>
      <c r="C20" s="38" t="s">
        <v>586</v>
      </c>
      <c r="E20" s="38" t="s">
        <v>588</v>
      </c>
    </row>
    <row r="21" spans="2:72" x14ac:dyDescent="0.25">
      <c r="C21" s="38" t="s">
        <v>589</v>
      </c>
    </row>
    <row r="22" spans="2:72" x14ac:dyDescent="0.25">
      <c r="B22" s="38" t="s">
        <v>590</v>
      </c>
      <c r="E22" s="38" t="s">
        <v>704</v>
      </c>
      <c r="AZ22" s="49">
        <f t="shared" ref="AZ22:BT22" si="10">AZ3*4</f>
        <v>76759.942857142858</v>
      </c>
      <c r="BA22" s="49">
        <f t="shared" si="10"/>
        <v>74759.942857142858</v>
      </c>
      <c r="BB22" s="49">
        <f t="shared" si="10"/>
        <v>72759.942857142858</v>
      </c>
      <c r="BC22" s="49">
        <f t="shared" si="10"/>
        <v>70759.942857142858</v>
      </c>
      <c r="BD22" s="49">
        <f t="shared" si="10"/>
        <v>68759.942857142858</v>
      </c>
      <c r="BE22" s="49">
        <f t="shared" si="10"/>
        <v>66759.942857142858</v>
      </c>
      <c r="BF22" s="49">
        <f t="shared" si="10"/>
        <v>64759.942857142858</v>
      </c>
      <c r="BG22" s="49">
        <f t="shared" si="10"/>
        <v>62759.942857142858</v>
      </c>
      <c r="BH22" s="49">
        <f t="shared" si="10"/>
        <v>60759.942857142858</v>
      </c>
      <c r="BI22" s="49">
        <f t="shared" si="10"/>
        <v>58759.942857142858</v>
      </c>
      <c r="BJ22" s="49">
        <f t="shared" si="10"/>
        <v>56759.942857142858</v>
      </c>
      <c r="BK22" s="49">
        <f t="shared" si="10"/>
        <v>54759.942857142858</v>
      </c>
      <c r="BL22" s="49">
        <f t="shared" si="10"/>
        <v>52759.942857142858</v>
      </c>
      <c r="BM22" s="49">
        <f t="shared" si="10"/>
        <v>50759.942857142858</v>
      </c>
      <c r="BN22" s="49">
        <f t="shared" si="10"/>
        <v>48759.942857142858</v>
      </c>
      <c r="BO22" s="49">
        <f t="shared" si="10"/>
        <v>46759.942857142858</v>
      </c>
      <c r="BP22" s="49">
        <f t="shared" si="10"/>
        <v>44759.942857142858</v>
      </c>
      <c r="BQ22" s="49">
        <f t="shared" si="10"/>
        <v>42159.942857142858</v>
      </c>
      <c r="BR22" s="49">
        <f t="shared" si="10"/>
        <v>40359.942857142858</v>
      </c>
      <c r="BS22" s="49">
        <f t="shared" si="10"/>
        <v>38559.942857142858</v>
      </c>
      <c r="BT22" s="49">
        <f t="shared" si="10"/>
        <v>36759.942857142858</v>
      </c>
    </row>
    <row r="23" spans="2:72" x14ac:dyDescent="0.25">
      <c r="C23" s="38" t="s">
        <v>591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</row>
    <row r="24" spans="2:72" x14ac:dyDescent="0.25">
      <c r="C24" s="38" t="s">
        <v>593</v>
      </c>
      <c r="AZ24" s="92">
        <f t="shared" ref="AZ24" si="11">+AZ22/AZ23</f>
        <v>15351.988571428572</v>
      </c>
      <c r="BA24" s="92">
        <f t="shared" ref="BA24" si="12">+BA22/BA23</f>
        <v>14951.988571428572</v>
      </c>
      <c r="BB24" s="92">
        <f t="shared" ref="BB24" si="13">+BB22/BB23</f>
        <v>14551.988571428572</v>
      </c>
      <c r="BC24" s="92">
        <f t="shared" ref="BC24" si="14">+BC22/BC23</f>
        <v>14151.988571428572</v>
      </c>
      <c r="BD24" s="92">
        <f t="shared" ref="BD24" si="15">+BD22/BD23</f>
        <v>13751.988571428572</v>
      </c>
      <c r="BE24" s="92">
        <f t="shared" ref="BE24" si="16">+BE22/BE23</f>
        <v>13351.988571428572</v>
      </c>
      <c r="BF24" s="92">
        <f t="shared" ref="BF24" si="17">+BF22/BF23</f>
        <v>12951.988571428572</v>
      </c>
      <c r="BG24" s="92">
        <f t="shared" ref="BG24" si="18">+BG22/BG23</f>
        <v>12551.988571428572</v>
      </c>
      <c r="BH24" s="92">
        <f t="shared" ref="BH24" si="19">+BH22/BH23</f>
        <v>12151.988571428572</v>
      </c>
      <c r="BI24" s="92">
        <f t="shared" ref="BI24" si="20">+BI22/BI23</f>
        <v>11751.988571428572</v>
      </c>
      <c r="BJ24" s="92">
        <f t="shared" ref="BJ24" si="21">+BJ22/BJ23</f>
        <v>11351.988571428572</v>
      </c>
      <c r="BK24" s="92">
        <f t="shared" ref="BK24" si="22">+BK22/BK23</f>
        <v>10951.988571428572</v>
      </c>
      <c r="BL24" s="92">
        <f t="shared" ref="BL24:BS24" si="23">+BL22/BL23</f>
        <v>10551.988571428572</v>
      </c>
      <c r="BM24" s="92">
        <f t="shared" si="23"/>
        <v>10151.988571428572</v>
      </c>
      <c r="BN24" s="92">
        <f t="shared" si="23"/>
        <v>9751.988571428572</v>
      </c>
      <c r="BO24" s="92">
        <f t="shared" si="23"/>
        <v>9351.988571428572</v>
      </c>
      <c r="BP24" s="92">
        <f t="shared" si="23"/>
        <v>8951.988571428572</v>
      </c>
      <c r="BQ24" s="92">
        <f t="shared" si="23"/>
        <v>8431.988571428572</v>
      </c>
      <c r="BR24" s="92">
        <f t="shared" si="23"/>
        <v>8071.988571428572</v>
      </c>
      <c r="BS24" s="92">
        <f t="shared" si="23"/>
        <v>7711.988571428572</v>
      </c>
      <c r="BT24" s="92">
        <f>+BT22/BT23</f>
        <v>7351.988571428572</v>
      </c>
    </row>
    <row r="25" spans="2:72" x14ac:dyDescent="0.25">
      <c r="B25" s="38" t="s">
        <v>592</v>
      </c>
      <c r="AZ25" s="92">
        <f t="shared" ref="AZ25" si="24">+AZ24*0.75</f>
        <v>11513.991428571429</v>
      </c>
      <c r="BA25" s="92">
        <f t="shared" ref="BA25" si="25">+BA24*0.75</f>
        <v>11213.991428571429</v>
      </c>
      <c r="BB25" s="92">
        <f t="shared" ref="BB25" si="26">+BB24*0.75</f>
        <v>10913.991428571429</v>
      </c>
      <c r="BC25" s="92">
        <f t="shared" ref="BC25" si="27">+BC24*0.75</f>
        <v>10613.991428571429</v>
      </c>
      <c r="BD25" s="92">
        <f t="shared" ref="BD25" si="28">+BD24*0.75</f>
        <v>10313.991428571429</v>
      </c>
      <c r="BE25" s="92">
        <f t="shared" ref="BE25" si="29">+BE24*0.75</f>
        <v>10013.991428571429</v>
      </c>
      <c r="BF25" s="92">
        <f t="shared" ref="BF25" si="30">+BF24*0.75</f>
        <v>9713.9914285714294</v>
      </c>
      <c r="BG25" s="92">
        <f t="shared" ref="BG25" si="31">+BG24*0.75</f>
        <v>9413.9914285714294</v>
      </c>
      <c r="BH25" s="92">
        <f t="shared" ref="BH25" si="32">+BH24*0.75</f>
        <v>9113.9914285714294</v>
      </c>
      <c r="BI25" s="92">
        <f t="shared" ref="BI25" si="33">+BI24*0.75</f>
        <v>8813.9914285714294</v>
      </c>
      <c r="BJ25" s="92">
        <f t="shared" ref="BJ25" si="34">+BJ24*0.75</f>
        <v>8513.9914285714294</v>
      </c>
      <c r="BK25" s="92">
        <f t="shared" ref="BK25" si="35">+BK24*0.75</f>
        <v>8213.9914285714294</v>
      </c>
      <c r="BL25" s="92">
        <f t="shared" ref="BL25:BS25" si="36">+BL24*0.75</f>
        <v>7913.9914285714294</v>
      </c>
      <c r="BM25" s="92">
        <f t="shared" si="36"/>
        <v>7613.9914285714294</v>
      </c>
      <c r="BN25" s="92">
        <f t="shared" si="36"/>
        <v>7313.9914285714294</v>
      </c>
      <c r="BO25" s="92">
        <f t="shared" si="36"/>
        <v>7013.9914285714294</v>
      </c>
      <c r="BP25" s="92">
        <f t="shared" si="36"/>
        <v>6713.9914285714294</v>
      </c>
      <c r="BQ25" s="92">
        <f t="shared" si="36"/>
        <v>6323.9914285714294</v>
      </c>
      <c r="BR25" s="92">
        <f t="shared" si="36"/>
        <v>6053.9914285714294</v>
      </c>
      <c r="BS25" s="92">
        <f t="shared" si="36"/>
        <v>5783.9914285714294</v>
      </c>
      <c r="BT25" s="92">
        <f>+BT24*0.75</f>
        <v>5513.9914285714294</v>
      </c>
    </row>
    <row r="26" spans="2:72" x14ac:dyDescent="0.25">
      <c r="B26" s="38" t="s">
        <v>594</v>
      </c>
    </row>
    <row r="27" spans="2:72" x14ac:dyDescent="0.25">
      <c r="B27" s="38" t="s">
        <v>595</v>
      </c>
    </row>
    <row r="28" spans="2:72" x14ac:dyDescent="0.25">
      <c r="E28" s="38" t="s">
        <v>596</v>
      </c>
    </row>
    <row r="29" spans="2:72" x14ac:dyDescent="0.25">
      <c r="E29" s="38" t="s">
        <v>597</v>
      </c>
    </row>
    <row r="30" spans="2:72" x14ac:dyDescent="0.25">
      <c r="E30" s="38" t="s">
        <v>598</v>
      </c>
    </row>
    <row r="31" spans="2:72" x14ac:dyDescent="0.25">
      <c r="B31" s="38" t="s">
        <v>599</v>
      </c>
      <c r="C31" s="38" t="s">
        <v>600</v>
      </c>
      <c r="E31" s="38" t="s">
        <v>1155</v>
      </c>
    </row>
    <row r="32" spans="2:72" x14ac:dyDescent="0.25">
      <c r="C32" s="38" t="s">
        <v>705</v>
      </c>
    </row>
    <row r="35" spans="7:72" x14ac:dyDescent="0.25">
      <c r="G35" s="51"/>
      <c r="H35" s="51"/>
      <c r="I35" s="51"/>
      <c r="N35" s="84">
        <v>0</v>
      </c>
      <c r="O35" s="84">
        <v>50</v>
      </c>
      <c r="P35" s="84">
        <v>229</v>
      </c>
      <c r="Q35" s="84">
        <v>355</v>
      </c>
      <c r="R35" s="84">
        <v>454</v>
      </c>
      <c r="S35" s="84">
        <v>835</v>
      </c>
      <c r="T35" s="84">
        <v>729</v>
      </c>
      <c r="U35" s="84">
        <v>945</v>
      </c>
      <c r="V35" s="84">
        <v>1341</v>
      </c>
      <c r="W35" s="84">
        <v>1823</v>
      </c>
      <c r="X35" s="84">
        <v>2063</v>
      </c>
      <c r="Y35" s="84">
        <v>2172</v>
      </c>
      <c r="Z35" s="84">
        <v>3011</v>
      </c>
      <c r="AA35" s="84">
        <v>4053</v>
      </c>
      <c r="AB35" s="84">
        <v>4356</v>
      </c>
      <c r="AC35" s="84">
        <v>3988</v>
      </c>
      <c r="AD35" s="84">
        <v>4496</v>
      </c>
      <c r="AE35" s="84">
        <v>5910</v>
      </c>
      <c r="AF35" s="84"/>
      <c r="AG35" s="84"/>
    </row>
    <row r="36" spans="7:72" x14ac:dyDescent="0.25">
      <c r="N36" s="47">
        <f t="shared" ref="N36:AA36" si="37">+N35/7</f>
        <v>0</v>
      </c>
      <c r="O36" s="47">
        <f t="shared" si="37"/>
        <v>7.1428571428571432</v>
      </c>
      <c r="P36" s="47">
        <f t="shared" si="37"/>
        <v>32.714285714285715</v>
      </c>
      <c r="Q36" s="47">
        <f t="shared" si="37"/>
        <v>50.714285714285715</v>
      </c>
      <c r="R36" s="47">
        <f t="shared" si="37"/>
        <v>64.857142857142861</v>
      </c>
      <c r="S36" s="47">
        <f t="shared" si="37"/>
        <v>119.28571428571429</v>
      </c>
      <c r="T36" s="47">
        <f t="shared" si="37"/>
        <v>104.14285714285714</v>
      </c>
      <c r="U36" s="47">
        <f t="shared" si="37"/>
        <v>135</v>
      </c>
      <c r="V36" s="47">
        <f t="shared" si="37"/>
        <v>191.57142857142858</v>
      </c>
      <c r="W36" s="47">
        <f t="shared" si="37"/>
        <v>260.42857142857144</v>
      </c>
      <c r="X36" s="47">
        <f t="shared" si="37"/>
        <v>294.71428571428572</v>
      </c>
      <c r="Y36" s="47">
        <f t="shared" si="37"/>
        <v>310.28571428571428</v>
      </c>
      <c r="Z36" s="47">
        <f t="shared" si="37"/>
        <v>430.14285714285717</v>
      </c>
      <c r="AA36" s="47">
        <f t="shared" si="37"/>
        <v>579</v>
      </c>
      <c r="AB36" s="47">
        <f t="shared" ref="AB36" si="38">+AB35/7</f>
        <v>622.28571428571433</v>
      </c>
      <c r="AC36" s="47">
        <f t="shared" ref="AC36" si="39">+AC35/7</f>
        <v>569.71428571428567</v>
      </c>
      <c r="AD36" s="47">
        <f t="shared" ref="AD36" si="40">+AD35/7</f>
        <v>642.28571428571433</v>
      </c>
      <c r="AE36" s="47">
        <f t="shared" ref="AE36" si="41">+AE35/7</f>
        <v>844.28571428571433</v>
      </c>
      <c r="AF36" s="47">
        <f t="shared" ref="AF36" si="42">+AF35/7</f>
        <v>0</v>
      </c>
      <c r="AG36" s="47">
        <f t="shared" ref="AG36" si="43">+AG35/7</f>
        <v>0</v>
      </c>
    </row>
    <row r="40" spans="7:72" x14ac:dyDescent="0.25">
      <c r="G40" s="47">
        <v>540</v>
      </c>
      <c r="H40" s="47">
        <v>992</v>
      </c>
      <c r="I40" s="47">
        <v>1425</v>
      </c>
      <c r="J40" s="47">
        <v>2325</v>
      </c>
      <c r="K40" s="47">
        <v>3122</v>
      </c>
      <c r="M40" s="47">
        <v>4365</v>
      </c>
      <c r="N40">
        <v>4755</v>
      </c>
      <c r="O40">
        <v>4836</v>
      </c>
      <c r="P40">
        <v>5432</v>
      </c>
      <c r="Q40">
        <v>6188</v>
      </c>
      <c r="R40">
        <v>6662</v>
      </c>
      <c r="S40">
        <v>7435</v>
      </c>
      <c r="T40">
        <v>8892</v>
      </c>
      <c r="U40">
        <v>10716</v>
      </c>
      <c r="V40">
        <v>12035</v>
      </c>
      <c r="W40">
        <v>14349</v>
      </c>
      <c r="X40">
        <v>16390</v>
      </c>
      <c r="Y40">
        <v>16976</v>
      </c>
      <c r="Z40">
        <v>19640</v>
      </c>
      <c r="AA40">
        <v>22101</v>
      </c>
      <c r="AB40">
        <v>23912</v>
      </c>
      <c r="AC40">
        <v>30065</v>
      </c>
    </row>
    <row r="41" spans="7:72" x14ac:dyDescent="0.25">
      <c r="G41" s="47">
        <f>+G40/7</f>
        <v>77.142857142857139</v>
      </c>
      <c r="H41" s="47">
        <f t="shared" ref="H41:AC41" si="44">+H40/7</f>
        <v>141.71428571428572</v>
      </c>
      <c r="I41" s="47">
        <f t="shared" si="44"/>
        <v>203.57142857142858</v>
      </c>
      <c r="J41" s="47">
        <f t="shared" si="44"/>
        <v>332.14285714285717</v>
      </c>
      <c r="K41" s="47">
        <f t="shared" si="44"/>
        <v>446</v>
      </c>
      <c r="M41" s="47">
        <f t="shared" si="44"/>
        <v>623.57142857142856</v>
      </c>
      <c r="N41" s="47">
        <f t="shared" si="44"/>
        <v>679.28571428571433</v>
      </c>
      <c r="O41" s="47">
        <f t="shared" si="44"/>
        <v>690.85714285714289</v>
      </c>
      <c r="P41" s="47">
        <f t="shared" si="44"/>
        <v>776</v>
      </c>
      <c r="Q41" s="47">
        <f t="shared" si="44"/>
        <v>884</v>
      </c>
      <c r="R41" s="47">
        <f t="shared" si="44"/>
        <v>951.71428571428567</v>
      </c>
      <c r="S41" s="47">
        <f t="shared" si="44"/>
        <v>1062.1428571428571</v>
      </c>
      <c r="T41" s="47">
        <f t="shared" si="44"/>
        <v>1270.2857142857142</v>
      </c>
      <c r="U41" s="47">
        <f t="shared" si="44"/>
        <v>1530.8571428571429</v>
      </c>
      <c r="V41" s="47">
        <f t="shared" si="44"/>
        <v>1719.2857142857142</v>
      </c>
      <c r="W41" s="47">
        <f t="shared" si="44"/>
        <v>2049.8571428571427</v>
      </c>
      <c r="X41" s="47">
        <f t="shared" si="44"/>
        <v>2341.4285714285716</v>
      </c>
      <c r="Y41" s="47">
        <f t="shared" si="44"/>
        <v>2425.1428571428573</v>
      </c>
      <c r="Z41" s="47">
        <f t="shared" si="44"/>
        <v>2805.7142857142858</v>
      </c>
      <c r="AA41" s="47">
        <f t="shared" si="44"/>
        <v>3157.2857142857142</v>
      </c>
      <c r="AB41" s="47">
        <f t="shared" si="44"/>
        <v>3416</v>
      </c>
      <c r="AC41" s="47">
        <f t="shared" si="44"/>
        <v>4295</v>
      </c>
    </row>
    <row r="46" spans="7:72" x14ac:dyDescent="0.25">
      <c r="BT46" s="49"/>
    </row>
    <row r="47" spans="7:72" x14ac:dyDescent="0.25">
      <c r="BT47" s="49"/>
    </row>
    <row r="48" spans="7:72" x14ac:dyDescent="0.25">
      <c r="BT48" s="49"/>
    </row>
    <row r="49" spans="72:72" x14ac:dyDescent="0.25">
      <c r="BT49" s="49"/>
    </row>
  </sheetData>
  <phoneticPr fontId="2" type="noConversion"/>
  <hyperlinks>
    <hyperlink ref="A1" location="Main!A1" display="Main" xr:uid="{A581D972-C31E-C649-9E7D-548888C6F767}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F3DD-6C6D-3645-B575-458F0C915EBB}">
  <dimension ref="A1:L28"/>
  <sheetViews>
    <sheetView zoomScale="190" zoomScaleNormal="190" workbookViewId="0"/>
  </sheetViews>
  <sheetFormatPr defaultColWidth="11.453125" defaultRowHeight="12.5" x14ac:dyDescent="0.25"/>
  <cols>
    <col min="1" max="1" width="4.81640625" bestFit="1" customWidth="1"/>
    <col min="2" max="2" width="12" customWidth="1"/>
    <col min="3" max="10" width="8.453125" style="53" customWidth="1"/>
    <col min="11" max="12" width="6.453125" customWidth="1"/>
  </cols>
  <sheetData>
    <row r="1" spans="1:12" ht="13" x14ac:dyDescent="0.3">
      <c r="A1" s="13" t="s">
        <v>6</v>
      </c>
      <c r="G1" s="87"/>
      <c r="H1" s="87"/>
      <c r="I1" s="87"/>
      <c r="J1" s="87"/>
    </row>
    <row r="2" spans="1:12" ht="13" x14ac:dyDescent="0.3">
      <c r="A2" s="38"/>
      <c r="B2" s="38" t="s">
        <v>672</v>
      </c>
      <c r="G2" s="87" t="s">
        <v>683</v>
      </c>
      <c r="H2" s="87" t="s">
        <v>682</v>
      </c>
      <c r="I2" s="87" t="s">
        <v>681</v>
      </c>
      <c r="J2" s="87" t="s">
        <v>680</v>
      </c>
    </row>
    <row r="3" spans="1:12" ht="13" x14ac:dyDescent="0.3">
      <c r="B3" s="38" t="s">
        <v>659</v>
      </c>
      <c r="C3" s="71" t="s">
        <v>676</v>
      </c>
      <c r="D3" s="71" t="s">
        <v>667</v>
      </c>
      <c r="E3" s="86" t="s">
        <v>668</v>
      </c>
      <c r="F3" s="86" t="s">
        <v>673</v>
      </c>
      <c r="G3" s="91" t="s">
        <v>674</v>
      </c>
      <c r="H3" s="91" t="s">
        <v>671</v>
      </c>
      <c r="I3" s="87" t="s">
        <v>669</v>
      </c>
      <c r="J3" s="87" t="s">
        <v>670</v>
      </c>
    </row>
    <row r="4" spans="1:12" ht="13" x14ac:dyDescent="0.3">
      <c r="B4" s="38" t="s">
        <v>660</v>
      </c>
      <c r="C4" s="88">
        <v>164.78000000000003</v>
      </c>
      <c r="D4" s="88">
        <v>106.7</v>
      </c>
      <c r="E4" s="88">
        <v>113.08000000000001</v>
      </c>
      <c r="F4" s="88">
        <v>152.9</v>
      </c>
      <c r="G4" s="89">
        <v>190.08000000000004</v>
      </c>
      <c r="H4" s="89">
        <v>216.48000000000002</v>
      </c>
      <c r="I4" s="89">
        <v>235.4</v>
      </c>
      <c r="J4" s="89">
        <v>260.48</v>
      </c>
      <c r="L4" s="89">
        <v>30</v>
      </c>
    </row>
    <row r="5" spans="1:12" ht="13" x14ac:dyDescent="0.3">
      <c r="B5" s="38" t="s">
        <v>661</v>
      </c>
      <c r="C5" s="88">
        <v>174.46</v>
      </c>
      <c r="D5" s="88">
        <v>110.66</v>
      </c>
      <c r="E5" s="88">
        <v>118.36</v>
      </c>
      <c r="F5" s="88">
        <v>161.26000000000002</v>
      </c>
      <c r="G5" s="89">
        <v>201.3</v>
      </c>
      <c r="H5" s="89">
        <v>223.74000000000004</v>
      </c>
      <c r="I5" s="89">
        <v>243.76000000000002</v>
      </c>
      <c r="J5" s="89">
        <v>280.72000000000003</v>
      </c>
      <c r="L5" s="89">
        <v>12</v>
      </c>
    </row>
    <row r="6" spans="1:12" ht="13" x14ac:dyDescent="0.3">
      <c r="B6" s="38" t="s">
        <v>662</v>
      </c>
      <c r="C6" s="89">
        <v>177.76000000000002</v>
      </c>
      <c r="D6" s="88">
        <v>117.26</v>
      </c>
      <c r="E6" s="88">
        <v>125.4</v>
      </c>
      <c r="F6" s="88">
        <v>165.44000000000003</v>
      </c>
      <c r="G6" s="89">
        <v>202.62</v>
      </c>
      <c r="H6" s="89">
        <v>227.26000000000002</v>
      </c>
      <c r="I6" s="89">
        <v>249.04000000000002</v>
      </c>
      <c r="J6" s="89">
        <v>272.36</v>
      </c>
      <c r="L6" s="89">
        <f>+L4+L5</f>
        <v>42</v>
      </c>
    </row>
    <row r="7" spans="1:12" ht="13" x14ac:dyDescent="0.3">
      <c r="B7" s="38" t="s">
        <v>663</v>
      </c>
      <c r="C7" s="88">
        <v>173.14000000000001</v>
      </c>
      <c r="D7" s="88">
        <v>108.24000000000001</v>
      </c>
      <c r="E7" s="88">
        <v>121.44000000000001</v>
      </c>
      <c r="F7" s="88">
        <v>164.12</v>
      </c>
      <c r="G7" s="89">
        <v>198.22</v>
      </c>
      <c r="H7" s="89">
        <v>215.16000000000003</v>
      </c>
      <c r="I7" s="89">
        <v>230.56</v>
      </c>
      <c r="J7" s="89">
        <v>266.42</v>
      </c>
      <c r="L7" s="89"/>
    </row>
    <row r="8" spans="1:12" ht="13" x14ac:dyDescent="0.3">
      <c r="B8" s="38" t="s">
        <v>664</v>
      </c>
      <c r="C8" s="88">
        <v>172.04000000000002</v>
      </c>
      <c r="D8" s="88">
        <v>111.76</v>
      </c>
      <c r="E8" s="88">
        <v>124.30000000000001</v>
      </c>
      <c r="F8" s="88">
        <v>165.22</v>
      </c>
      <c r="G8" s="89">
        <v>196.46</v>
      </c>
      <c r="H8" s="89">
        <v>215.82</v>
      </c>
      <c r="I8" s="89">
        <v>228.14000000000001</v>
      </c>
      <c r="J8" s="89">
        <v>247.94000000000003</v>
      </c>
    </row>
    <row r="9" spans="1:12" ht="13" x14ac:dyDescent="0.3">
      <c r="B9" s="38" t="s">
        <v>665</v>
      </c>
      <c r="C9" s="88">
        <v>164.34000000000003</v>
      </c>
      <c r="D9" s="88">
        <v>111.54000000000002</v>
      </c>
      <c r="E9" s="88">
        <v>119.46000000000001</v>
      </c>
      <c r="F9" s="88">
        <v>161.04000000000002</v>
      </c>
      <c r="G9" s="89">
        <v>184.58000000000004</v>
      </c>
      <c r="H9" s="89">
        <v>196.46</v>
      </c>
      <c r="I9" s="89">
        <v>209.22</v>
      </c>
      <c r="J9" s="89">
        <v>236.06</v>
      </c>
    </row>
    <row r="10" spans="1:12" ht="13" x14ac:dyDescent="0.3">
      <c r="B10" s="38" t="s">
        <v>666</v>
      </c>
      <c r="C10" s="88">
        <v>149.38000000000002</v>
      </c>
      <c r="D10" s="88">
        <v>102.08</v>
      </c>
      <c r="E10" s="88">
        <v>110.00000000000001</v>
      </c>
      <c r="F10" s="88">
        <v>145.86000000000001</v>
      </c>
      <c r="G10" s="89">
        <v>167.86</v>
      </c>
      <c r="H10" s="89">
        <v>181.06</v>
      </c>
      <c r="I10" s="89">
        <v>189.86</v>
      </c>
      <c r="J10" s="89">
        <v>212.96</v>
      </c>
    </row>
    <row r="11" spans="1:12" ht="13" x14ac:dyDescent="0.3">
      <c r="G11" s="87"/>
      <c r="H11" s="87"/>
      <c r="I11" s="87"/>
      <c r="J11" s="87"/>
    </row>
    <row r="12" spans="1:12" x14ac:dyDescent="0.25">
      <c r="B12" s="38" t="s">
        <v>675</v>
      </c>
      <c r="G12" s="71"/>
      <c r="H12" s="71"/>
      <c r="I12" s="71"/>
      <c r="J12" s="71"/>
    </row>
    <row r="13" spans="1:12" ht="13" x14ac:dyDescent="0.3">
      <c r="B13" s="38" t="s">
        <v>659</v>
      </c>
      <c r="C13" s="71" t="s">
        <v>676</v>
      </c>
      <c r="D13" s="71" t="s">
        <v>667</v>
      </c>
      <c r="E13" s="86" t="s">
        <v>668</v>
      </c>
      <c r="F13" s="86" t="s">
        <v>673</v>
      </c>
      <c r="G13" s="86" t="s">
        <v>674</v>
      </c>
      <c r="H13" s="86" t="s">
        <v>671</v>
      </c>
      <c r="I13" s="71" t="s">
        <v>669</v>
      </c>
      <c r="J13" s="87" t="s">
        <v>670</v>
      </c>
    </row>
    <row r="14" spans="1:12" ht="13" x14ac:dyDescent="0.3">
      <c r="B14" s="38" t="s">
        <v>660</v>
      </c>
      <c r="C14" s="88">
        <v>188.6</v>
      </c>
      <c r="D14" s="88">
        <v>128.5</v>
      </c>
      <c r="E14" s="88">
        <v>135.6</v>
      </c>
      <c r="F14" s="88">
        <v>179.1</v>
      </c>
      <c r="G14" s="90">
        <v>216.5</v>
      </c>
      <c r="H14" s="90">
        <v>242.1</v>
      </c>
      <c r="I14" s="90">
        <v>255.7</v>
      </c>
      <c r="J14" s="89">
        <v>282.3</v>
      </c>
    </row>
    <row r="15" spans="1:12" ht="13" x14ac:dyDescent="0.3">
      <c r="B15" s="38" t="s">
        <v>661</v>
      </c>
      <c r="C15" s="88">
        <v>208.1</v>
      </c>
      <c r="D15" s="88">
        <v>143.4</v>
      </c>
      <c r="E15" s="88">
        <v>154.9</v>
      </c>
      <c r="F15" s="88">
        <v>197.7</v>
      </c>
      <c r="G15" s="90">
        <v>230.6</v>
      </c>
      <c r="H15" s="90">
        <v>256.2</v>
      </c>
      <c r="I15" s="90">
        <v>273</v>
      </c>
      <c r="J15" s="89">
        <v>308.5</v>
      </c>
    </row>
    <row r="16" spans="1:12" ht="13" x14ac:dyDescent="0.3">
      <c r="B16" s="38" t="s">
        <v>662</v>
      </c>
      <c r="C16" s="89">
        <v>206.9</v>
      </c>
      <c r="D16" s="88">
        <v>146.30000000000001</v>
      </c>
      <c r="E16" s="88">
        <v>154.5</v>
      </c>
      <c r="F16" s="88">
        <v>199.5</v>
      </c>
      <c r="G16" s="90">
        <v>229.2</v>
      </c>
      <c r="H16" s="90">
        <v>250.6</v>
      </c>
      <c r="I16" s="90">
        <v>263.60000000000002</v>
      </c>
      <c r="J16" s="89">
        <v>293.89999999999998</v>
      </c>
    </row>
    <row r="17" spans="2:10" ht="13" x14ac:dyDescent="0.3">
      <c r="B17" s="38" t="s">
        <v>663</v>
      </c>
      <c r="C17" s="88">
        <v>202.5</v>
      </c>
      <c r="D17" s="88">
        <v>139.30000000000001</v>
      </c>
      <c r="E17" s="88">
        <v>151.1</v>
      </c>
      <c r="F17" s="88">
        <v>197.5</v>
      </c>
      <c r="G17" s="90">
        <v>224.8</v>
      </c>
      <c r="H17" s="90">
        <v>243.4</v>
      </c>
      <c r="I17" s="90">
        <v>273.2</v>
      </c>
      <c r="J17" s="89">
        <v>288</v>
      </c>
    </row>
    <row r="18" spans="2:10" ht="13" x14ac:dyDescent="0.3">
      <c r="B18" s="38" t="s">
        <v>664</v>
      </c>
      <c r="C18" s="88">
        <v>201.2</v>
      </c>
      <c r="D18" s="88">
        <v>137.30000000000001</v>
      </c>
      <c r="E18" s="88">
        <v>149.1</v>
      </c>
      <c r="F18" s="88">
        <v>197.2</v>
      </c>
      <c r="G18" s="90">
        <v>226.8</v>
      </c>
      <c r="H18" s="90">
        <v>241.7</v>
      </c>
      <c r="I18" s="90">
        <v>257.3</v>
      </c>
      <c r="J18" s="89">
        <v>282.5</v>
      </c>
    </row>
    <row r="19" spans="2:10" ht="13" x14ac:dyDescent="0.3">
      <c r="B19" s="38" t="s">
        <v>665</v>
      </c>
      <c r="C19" s="88">
        <v>193.4</v>
      </c>
      <c r="D19" s="88">
        <v>133.4</v>
      </c>
      <c r="E19" s="88">
        <v>147.80000000000001</v>
      </c>
      <c r="F19" s="88">
        <v>188</v>
      </c>
      <c r="G19" s="90">
        <v>216.1</v>
      </c>
      <c r="H19" s="90">
        <v>233.2</v>
      </c>
      <c r="I19" s="90">
        <v>239.7</v>
      </c>
      <c r="J19" s="89">
        <v>262.5</v>
      </c>
    </row>
    <row r="20" spans="2:10" ht="13" x14ac:dyDescent="0.3">
      <c r="B20" s="38" t="s">
        <v>666</v>
      </c>
      <c r="C20" s="88">
        <v>177.5</v>
      </c>
      <c r="D20" s="88">
        <v>123.9</v>
      </c>
      <c r="E20" s="88">
        <v>136.69999999999999</v>
      </c>
      <c r="F20" s="88">
        <v>175.6</v>
      </c>
      <c r="G20" s="90">
        <v>198.4</v>
      </c>
      <c r="H20" s="90">
        <v>214.3</v>
      </c>
      <c r="I20" s="90">
        <v>218.6</v>
      </c>
      <c r="J20" s="89">
        <v>238</v>
      </c>
    </row>
    <row r="21" spans="2:10" x14ac:dyDescent="0.25">
      <c r="G21" s="71"/>
      <c r="H21" s="71"/>
      <c r="I21" s="71"/>
      <c r="J21" s="71"/>
    </row>
    <row r="22" spans="2:10" x14ac:dyDescent="0.25">
      <c r="G22" s="71"/>
      <c r="H22" s="71"/>
      <c r="I22" s="71"/>
      <c r="J22" s="71"/>
    </row>
    <row r="23" spans="2:10" x14ac:dyDescent="0.25">
      <c r="B23" s="38" t="s">
        <v>677</v>
      </c>
      <c r="D23" s="53">
        <f>3.3+3.4+3.1+2.8</f>
        <v>12.599999999999998</v>
      </c>
      <c r="E23" s="53">
        <f>2.7+3+3.2+3.3</f>
        <v>12.2</v>
      </c>
      <c r="F23" s="53">
        <v>24.8</v>
      </c>
      <c r="G23" s="71"/>
      <c r="H23" s="71"/>
      <c r="I23" s="71"/>
      <c r="J23" s="71"/>
    </row>
    <row r="24" spans="2:10" x14ac:dyDescent="0.25">
      <c r="I24" s="71"/>
      <c r="J24" s="71"/>
    </row>
    <row r="25" spans="2:10" x14ac:dyDescent="0.25">
      <c r="B25" s="38" t="s">
        <v>678</v>
      </c>
      <c r="C25" s="54">
        <v>331000</v>
      </c>
      <c r="G25" s="71">
        <f>12.3+16.4+9.2+11.9</f>
        <v>49.8</v>
      </c>
      <c r="I25" s="71" t="s">
        <v>684</v>
      </c>
      <c r="J25" s="71"/>
    </row>
    <row r="26" spans="2:10" x14ac:dyDescent="0.25">
      <c r="B26" s="38" t="s">
        <v>679</v>
      </c>
      <c r="C26" s="54">
        <f>C25*0.75</f>
        <v>248250</v>
      </c>
      <c r="G26" s="71">
        <f>16.4+9.2+11.9</f>
        <v>37.5</v>
      </c>
      <c r="I26" s="71" t="s">
        <v>685</v>
      </c>
    </row>
    <row r="27" spans="2:10" x14ac:dyDescent="0.25">
      <c r="C27" s="54"/>
      <c r="G27" s="71">
        <f>9.2+11.9</f>
        <v>21.1</v>
      </c>
      <c r="I27" s="71" t="s">
        <v>686</v>
      </c>
    </row>
    <row r="28" spans="2:10" x14ac:dyDescent="0.25">
      <c r="G28" s="53">
        <v>11.9</v>
      </c>
      <c r="I28" s="71" t="s">
        <v>687</v>
      </c>
    </row>
  </sheetData>
  <hyperlinks>
    <hyperlink ref="A1" location="Main!A1" display="Main" xr:uid="{E2694DAA-AC9C-DF40-85BE-85E024F3498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569-70F3-B546-988F-444F0775A0CC}">
  <dimension ref="A1:C5"/>
  <sheetViews>
    <sheetView zoomScale="150" zoomScaleNormal="150" workbookViewId="0"/>
  </sheetViews>
  <sheetFormatPr defaultColWidth="11.453125" defaultRowHeight="12.5" x14ac:dyDescent="0.25"/>
  <cols>
    <col min="1" max="1" width="4.81640625" bestFit="1" customWidth="1"/>
    <col min="2" max="2" width="9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365</v>
      </c>
    </row>
    <row r="3" spans="1:3" x14ac:dyDescent="0.25">
      <c r="B3" s="38" t="s">
        <v>403</v>
      </c>
      <c r="C3" s="38" t="s">
        <v>462</v>
      </c>
    </row>
    <row r="4" spans="1:3" x14ac:dyDescent="0.25">
      <c r="B4" s="38" t="s">
        <v>1</v>
      </c>
      <c r="C4" s="38" t="s">
        <v>36</v>
      </c>
    </row>
    <row r="5" spans="1:3" x14ac:dyDescent="0.25">
      <c r="B5" s="38" t="s">
        <v>405</v>
      </c>
      <c r="C5" s="38" t="s">
        <v>118</v>
      </c>
    </row>
  </sheetData>
  <hyperlinks>
    <hyperlink ref="A1" location="Main!A1" display="Main" xr:uid="{20FEB518-508C-0F46-BFEE-3B5B281923F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Master</vt:lpstr>
      <vt:lpstr>IP</vt:lpstr>
      <vt:lpstr>Trials</vt:lpstr>
      <vt:lpstr>Main</vt:lpstr>
      <vt:lpstr>Model</vt:lpstr>
      <vt:lpstr>Mounjaro-Zepbound</vt:lpstr>
      <vt:lpstr>GLP-1s</vt:lpstr>
      <vt:lpstr>Obesity</vt:lpstr>
      <vt:lpstr>Trulicity</vt:lpstr>
      <vt:lpstr>orforglipron</vt:lpstr>
      <vt:lpstr>retatrutide</vt:lpstr>
      <vt:lpstr>mazdutide</vt:lpstr>
      <vt:lpstr>Omvoh</vt:lpstr>
      <vt:lpstr>Kisunla</vt:lpstr>
      <vt:lpstr>insulin efsitora</vt:lpstr>
      <vt:lpstr>imlunestrant</vt:lpstr>
      <vt:lpstr>Ebglyss</vt:lpstr>
      <vt:lpstr>Jayprica</vt:lpstr>
      <vt:lpstr>Verzenio</vt:lpstr>
      <vt:lpstr>muvalaplin</vt:lpstr>
      <vt:lpstr>Alimta</vt:lpstr>
      <vt:lpstr>Cymbalta</vt:lpstr>
      <vt:lpstr>Jardiance</vt:lpstr>
      <vt:lpstr>Forteo</vt:lpstr>
      <vt:lpstr>Strattera</vt:lpstr>
      <vt:lpstr>Cialis</vt:lpstr>
      <vt:lpstr>Evista</vt:lpstr>
      <vt:lpstr>Gemzar</vt:lpstr>
      <vt:lpstr>Zyprexa</vt:lpstr>
      <vt:lpstr>remternetug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2025-08-04T14:41:03Z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