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D931A9E-05DB-4D70-8691-101FA435939E}" xr6:coauthVersionLast="47" xr6:coauthVersionMax="47" xr10:uidLastSave="{00000000-0000-0000-0000-000000000000}"/>
  <bookViews>
    <workbookView xWindow="41680" yWindow="5090" windowWidth="25050" windowHeight="15270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19" i="2" l="1"/>
  <c r="AL19" i="2"/>
  <c r="AK19" i="2"/>
  <c r="AJ19" i="2"/>
  <c r="AI19" i="2"/>
  <c r="Z19" i="2"/>
  <c r="Y19" i="2"/>
  <c r="X3" i="2"/>
  <c r="R3" i="2"/>
  <c r="S3" i="2"/>
  <c r="O14" i="2"/>
  <c r="N14" i="2"/>
  <c r="M14" i="2"/>
  <c r="O13" i="2"/>
  <c r="N13" i="2"/>
  <c r="M13" i="2"/>
  <c r="O12" i="2"/>
  <c r="N12" i="2"/>
  <c r="M12" i="2"/>
  <c r="O11" i="2"/>
  <c r="T3" i="2"/>
  <c r="U3" i="2"/>
  <c r="P14" i="2"/>
  <c r="P13" i="2"/>
  <c r="P12" i="2"/>
  <c r="W3" i="2"/>
  <c r="V3" i="2"/>
  <c r="Q14" i="2"/>
  <c r="Q13" i="2"/>
  <c r="Q11" i="2" s="1"/>
  <c r="Q12" i="2"/>
  <c r="U14" i="2"/>
  <c r="T14" i="2"/>
  <c r="U13" i="2"/>
  <c r="T13" i="2"/>
  <c r="U12" i="2"/>
  <c r="T12" i="2"/>
  <c r="S14" i="2"/>
  <c r="S13" i="2"/>
  <c r="W14" i="2"/>
  <c r="W13" i="2"/>
  <c r="S11" i="2"/>
  <c r="S12" i="2"/>
  <c r="W12" i="2"/>
  <c r="L5" i="1"/>
  <c r="L3" i="1"/>
  <c r="AJ67" i="2"/>
  <c r="AJ68" i="2" s="1"/>
  <c r="W67" i="2"/>
  <c r="W66" i="2"/>
  <c r="W53" i="2"/>
  <c r="W56" i="2" s="1"/>
  <c r="W52" i="2"/>
  <c r="W51" i="2"/>
  <c r="W41" i="2"/>
  <c r="W47" i="2" s="1"/>
  <c r="W24" i="2"/>
  <c r="W23" i="2"/>
  <c r="W22" i="2"/>
  <c r="W20" i="2"/>
  <c r="W21" i="2" s="1"/>
  <c r="M11" i="2" l="1"/>
  <c r="N11" i="2"/>
  <c r="P11" i="2"/>
  <c r="T11" i="2"/>
  <c r="U11" i="2"/>
  <c r="W11" i="2"/>
  <c r="X32" i="2"/>
  <c r="Y32" i="2" s="1"/>
  <c r="Z32" i="2" s="1"/>
  <c r="X27" i="2"/>
  <c r="Y27" i="2" s="1"/>
  <c r="Z27" i="2" s="1"/>
  <c r="AD39" i="2"/>
  <c r="AD38" i="2"/>
  <c r="AD37" i="2"/>
  <c r="AF32" i="2"/>
  <c r="AG32" i="2"/>
  <c r="X21" i="2" l="1"/>
  <c r="AG55" i="2"/>
  <c r="AG54" i="2"/>
  <c r="AG50" i="2"/>
  <c r="AG49" i="2"/>
  <c r="AG46" i="2"/>
  <c r="AG45" i="2"/>
  <c r="AG44" i="2"/>
  <c r="AG43" i="2"/>
  <c r="AG42" i="2"/>
  <c r="Z21" i="2"/>
  <c r="Z36" i="2" s="1"/>
  <c r="R12" i="2"/>
  <c r="V12" i="2"/>
  <c r="R19" i="2"/>
  <c r="R14" i="2"/>
  <c r="R13" i="2"/>
  <c r="R11" i="2" s="1"/>
  <c r="V14" i="2"/>
  <c r="V13" i="2"/>
  <c r="V11" i="2" s="1"/>
  <c r="O24" i="2"/>
  <c r="S24" i="2"/>
  <c r="S39" i="2" s="1"/>
  <c r="O23" i="2"/>
  <c r="S23" i="2"/>
  <c r="W38" i="2" s="1"/>
  <c r="O22" i="2"/>
  <c r="S22" i="2"/>
  <c r="O20" i="2"/>
  <c r="S20" i="2"/>
  <c r="P24" i="2"/>
  <c r="P23" i="2"/>
  <c r="P22" i="2"/>
  <c r="T24" i="2"/>
  <c r="T23" i="2"/>
  <c r="X23" i="2" s="1"/>
  <c r="X38" i="2" s="1"/>
  <c r="T22" i="2"/>
  <c r="X22" i="2" s="1"/>
  <c r="X37" i="2" s="1"/>
  <c r="P20" i="2"/>
  <c r="T20" i="2"/>
  <c r="R20" i="2"/>
  <c r="V20" i="2"/>
  <c r="Q24" i="2"/>
  <c r="Q23" i="2"/>
  <c r="Q22" i="2"/>
  <c r="Q20" i="2"/>
  <c r="U24" i="2"/>
  <c r="Y24" i="2" s="1"/>
  <c r="Y39" i="2" s="1"/>
  <c r="U23" i="2"/>
  <c r="Y23" i="2" s="1"/>
  <c r="Y38" i="2" s="1"/>
  <c r="U22" i="2"/>
  <c r="Y22" i="2" s="1"/>
  <c r="Y37" i="2" s="1"/>
  <c r="U20" i="2"/>
  <c r="R24" i="2"/>
  <c r="R39" i="2" s="1"/>
  <c r="V24" i="2"/>
  <c r="Z24" i="2" s="1"/>
  <c r="Z39" i="2" s="1"/>
  <c r="R23" i="2"/>
  <c r="R38" i="2" s="1"/>
  <c r="V23" i="2"/>
  <c r="Z23" i="2" s="1"/>
  <c r="Z38" i="2" s="1"/>
  <c r="R22" i="2"/>
  <c r="R37" i="2" s="1"/>
  <c r="V22" i="2"/>
  <c r="Z22" i="2" s="1"/>
  <c r="Z37" i="2" s="1"/>
  <c r="W39" i="2" l="1"/>
  <c r="AH19" i="2"/>
  <c r="Z20" i="2"/>
  <c r="Y21" i="2"/>
  <c r="Y36" i="2" s="1"/>
  <c r="S38" i="2"/>
  <c r="V39" i="2"/>
  <c r="W37" i="2"/>
  <c r="AG22" i="2"/>
  <c r="AG23" i="2"/>
  <c r="AG24" i="2"/>
  <c r="AG20" i="2"/>
  <c r="T39" i="2"/>
  <c r="X24" i="2"/>
  <c r="X39" i="2" s="1"/>
  <c r="X20" i="2"/>
  <c r="X36" i="2"/>
  <c r="X25" i="2"/>
  <c r="Y25" i="2"/>
  <c r="Z25" i="2"/>
  <c r="Z26" i="2" s="1"/>
  <c r="Z28" i="2" s="1"/>
  <c r="Z29" i="2" s="1"/>
  <c r="Z30" i="2" s="1"/>
  <c r="Z31" i="2" s="1"/>
  <c r="X26" i="2"/>
  <c r="X28" i="2" s="1"/>
  <c r="T38" i="2"/>
  <c r="T37" i="2"/>
  <c r="U38" i="2"/>
  <c r="U39" i="2"/>
  <c r="U37" i="2"/>
  <c r="V38" i="2"/>
  <c r="S37" i="2"/>
  <c r="V37" i="2"/>
  <c r="Y26" i="2" l="1"/>
  <c r="Y28" i="2" s="1"/>
  <c r="Y29" i="2" s="1"/>
  <c r="Y30" i="2" s="1"/>
  <c r="Y31" i="2" s="1"/>
  <c r="Y20" i="2"/>
  <c r="X29" i="2"/>
  <c r="X30" i="2" s="1"/>
  <c r="X31" i="2" s="1"/>
  <c r="AI68" i="2"/>
  <c r="Z35" i="2"/>
  <c r="Y35" i="2"/>
  <c r="X35" i="2"/>
  <c r="W89" i="2"/>
  <c r="V52" i="2"/>
  <c r="AG52" i="2" s="1"/>
  <c r="V53" i="2"/>
  <c r="AG53" i="2" s="1"/>
  <c r="V51" i="2"/>
  <c r="AG51" i="2" s="1"/>
  <c r="AG56" i="2" s="1"/>
  <c r="V41" i="2"/>
  <c r="W25" i="2"/>
  <c r="W26" i="2" s="1"/>
  <c r="W28" i="2" s="1"/>
  <c r="W36" i="2"/>
  <c r="W35" i="2"/>
  <c r="V25" i="2"/>
  <c r="V21" i="2"/>
  <c r="V36" i="2" s="1"/>
  <c r="T53" i="2"/>
  <c r="T52" i="2"/>
  <c r="T51" i="2"/>
  <c r="T41" i="2"/>
  <c r="T47" i="2" s="1"/>
  <c r="T78" i="2"/>
  <c r="U78" i="2" s="1"/>
  <c r="V78" i="2" s="1"/>
  <c r="T76" i="2"/>
  <c r="U76" i="2" s="1"/>
  <c r="T75" i="2"/>
  <c r="U75" i="2" s="1"/>
  <c r="V75" i="2" s="1"/>
  <c r="T74" i="2"/>
  <c r="U74" i="2" s="1"/>
  <c r="V74" i="2" s="1"/>
  <c r="T70" i="2"/>
  <c r="U70" i="2" s="1"/>
  <c r="V70" i="2" s="1"/>
  <c r="T65" i="2"/>
  <c r="T64" i="2"/>
  <c r="T63" i="2"/>
  <c r="T62" i="2"/>
  <c r="T61" i="2"/>
  <c r="T60" i="2"/>
  <c r="T59" i="2"/>
  <c r="U51" i="2"/>
  <c r="U52" i="2"/>
  <c r="U53" i="2"/>
  <c r="U41" i="2"/>
  <c r="U47" i="2" s="1"/>
  <c r="U29" i="2"/>
  <c r="U27" i="2"/>
  <c r="T29" i="2"/>
  <c r="T27" i="2"/>
  <c r="T25" i="2"/>
  <c r="T21" i="2"/>
  <c r="T36" i="2" s="1"/>
  <c r="U25" i="2"/>
  <c r="U21" i="2"/>
  <c r="U36" i="2" s="1"/>
  <c r="AF53" i="2"/>
  <c r="AF52" i="2"/>
  <c r="AF51" i="2"/>
  <c r="AF41" i="2"/>
  <c r="AF47" i="2" s="1"/>
  <c r="AD66" i="2"/>
  <c r="AD65" i="2"/>
  <c r="AD67" i="2" s="1"/>
  <c r="AE66" i="2"/>
  <c r="AE65" i="2"/>
  <c r="AF66" i="2"/>
  <c r="AF65" i="2"/>
  <c r="AF18" i="2"/>
  <c r="AF17" i="2"/>
  <c r="U35" i="2"/>
  <c r="AE19" i="2"/>
  <c r="AF83" i="2"/>
  <c r="AE83" i="2"/>
  <c r="AF5" i="2"/>
  <c r="AE5" i="2"/>
  <c r="O77" i="2"/>
  <c r="O71" i="2"/>
  <c r="O72" i="2" s="1"/>
  <c r="O66" i="2"/>
  <c r="O67" i="2" s="1"/>
  <c r="O29" i="2"/>
  <c r="O53" i="2"/>
  <c r="O52" i="2"/>
  <c r="O51" i="2"/>
  <c r="O41" i="2"/>
  <c r="O47" i="2" s="1"/>
  <c r="P51" i="2"/>
  <c r="P53" i="2"/>
  <c r="P52" i="2"/>
  <c r="P41" i="2"/>
  <c r="P47" i="2" s="1"/>
  <c r="L27" i="2"/>
  <c r="L21" i="2"/>
  <c r="P35" i="2"/>
  <c r="P29" i="2"/>
  <c r="P27" i="2"/>
  <c r="P25" i="2"/>
  <c r="P21" i="2"/>
  <c r="Q53" i="2"/>
  <c r="Q52" i="2"/>
  <c r="Q51" i="2"/>
  <c r="Q41" i="2"/>
  <c r="Q47" i="2" s="1"/>
  <c r="Q29" i="2"/>
  <c r="Q27" i="2"/>
  <c r="Q25" i="2"/>
  <c r="Q21" i="2"/>
  <c r="Q36" i="2" s="1"/>
  <c r="R53" i="2"/>
  <c r="R52" i="2"/>
  <c r="R51" i="2"/>
  <c r="R41" i="2"/>
  <c r="R47" i="2" s="1"/>
  <c r="N29" i="2"/>
  <c r="N27" i="2"/>
  <c r="N21" i="2"/>
  <c r="R29" i="2"/>
  <c r="R27" i="2"/>
  <c r="R25" i="2"/>
  <c r="R21" i="2"/>
  <c r="R36" i="2" s="1"/>
  <c r="T35" i="2"/>
  <c r="S77" i="2"/>
  <c r="S71" i="2"/>
  <c r="S72" i="2" s="1"/>
  <c r="S66" i="2"/>
  <c r="S53" i="2"/>
  <c r="S52" i="2"/>
  <c r="S51" i="2"/>
  <c r="S41" i="2"/>
  <c r="S47" i="2" s="1"/>
  <c r="O27" i="2"/>
  <c r="O25" i="2"/>
  <c r="S29" i="2"/>
  <c r="AG29" i="2" s="1"/>
  <c r="S27" i="2"/>
  <c r="AG27" i="2" s="1"/>
  <c r="S25" i="2"/>
  <c r="O35" i="2"/>
  <c r="O21" i="2"/>
  <c r="O36" i="2" s="1"/>
  <c r="S35" i="2"/>
  <c r="S21" i="2"/>
  <c r="L4" i="1"/>
  <c r="L7" i="1" s="1"/>
  <c r="AE24" i="2"/>
  <c r="AE23" i="2"/>
  <c r="AE22" i="2"/>
  <c r="AE37" i="2" s="1"/>
  <c r="M24" i="2"/>
  <c r="M23" i="2"/>
  <c r="M22" i="2"/>
  <c r="N35" i="2"/>
  <c r="M21" i="2"/>
  <c r="L35" i="2"/>
  <c r="D29" i="2"/>
  <c r="D27" i="2"/>
  <c r="D25" i="2"/>
  <c r="D21" i="2"/>
  <c r="D36" i="2" s="1"/>
  <c r="H27" i="2"/>
  <c r="H35" i="2"/>
  <c r="H25" i="2"/>
  <c r="H21" i="2"/>
  <c r="E27" i="2"/>
  <c r="E25" i="2"/>
  <c r="E21" i="2"/>
  <c r="E36" i="2" s="1"/>
  <c r="I35" i="2"/>
  <c r="I27" i="2"/>
  <c r="I25" i="2"/>
  <c r="I21" i="2"/>
  <c r="I36" i="2" s="1"/>
  <c r="AD35" i="2"/>
  <c r="AC27" i="2"/>
  <c r="AD27" i="2"/>
  <c r="AD25" i="2"/>
  <c r="AC25" i="2"/>
  <c r="AC21" i="2"/>
  <c r="AD21" i="2"/>
  <c r="AD36" i="2" s="1"/>
  <c r="AD2" i="2"/>
  <c r="AE2" i="2" s="1"/>
  <c r="AF2" i="2" s="1"/>
  <c r="AG2" i="2" s="1"/>
  <c r="AH2" i="2" s="1"/>
  <c r="AI2" i="2" s="1"/>
  <c r="AJ2" i="2" s="1"/>
  <c r="AK2" i="2" s="1"/>
  <c r="AL2" i="2" s="1"/>
  <c r="AM2" i="2" s="1"/>
  <c r="J35" i="2"/>
  <c r="F27" i="2"/>
  <c r="F25" i="2"/>
  <c r="F21" i="2"/>
  <c r="F36" i="2" s="1"/>
  <c r="J27" i="2"/>
  <c r="J25" i="2"/>
  <c r="J21" i="2"/>
  <c r="J36" i="2" s="1"/>
  <c r="M32" i="2"/>
  <c r="K53" i="2"/>
  <c r="K52" i="2"/>
  <c r="K51" i="2"/>
  <c r="K41" i="2"/>
  <c r="K47" i="2" s="1"/>
  <c r="K35" i="2"/>
  <c r="K27" i="2"/>
  <c r="G27" i="2"/>
  <c r="G25" i="2"/>
  <c r="G21" i="2"/>
  <c r="G36" i="2" s="1"/>
  <c r="K25" i="2"/>
  <c r="K21" i="2"/>
  <c r="AF23" i="2" l="1"/>
  <c r="AE38" i="2"/>
  <c r="V47" i="2"/>
  <c r="AG41" i="2"/>
  <c r="AG47" i="2" s="1"/>
  <c r="S67" i="2"/>
  <c r="U59" i="2"/>
  <c r="V59" i="2" s="1"/>
  <c r="AG59" i="2" s="1"/>
  <c r="U60" i="2"/>
  <c r="V60" i="2" s="1"/>
  <c r="AG60" i="2" s="1"/>
  <c r="U61" i="2"/>
  <c r="V61" i="2" s="1"/>
  <c r="AG61" i="2"/>
  <c r="U62" i="2"/>
  <c r="V62" i="2" s="1"/>
  <c r="U64" i="2"/>
  <c r="V64" i="2" s="1"/>
  <c r="U65" i="2"/>
  <c r="V65" i="2" s="1"/>
  <c r="AG65" i="2" s="1"/>
  <c r="AF24" i="2"/>
  <c r="AE39" i="2"/>
  <c r="AE67" i="2"/>
  <c r="U63" i="2"/>
  <c r="V63" i="2" s="1"/>
  <c r="AG63" i="2" s="1"/>
  <c r="U56" i="2"/>
  <c r="U77" i="2"/>
  <c r="V76" i="2"/>
  <c r="V77" i="2" s="1"/>
  <c r="P26" i="2"/>
  <c r="P28" i="2" s="1"/>
  <c r="P30" i="2" s="1"/>
  <c r="P31" i="2" s="1"/>
  <c r="V26" i="2"/>
  <c r="V28" i="2" s="1"/>
  <c r="V30" i="2" s="1"/>
  <c r="V31" i="2" s="1"/>
  <c r="V56" i="2"/>
  <c r="W30" i="2"/>
  <c r="AF19" i="2"/>
  <c r="T66" i="2"/>
  <c r="U66" i="2" s="1"/>
  <c r="V66" i="2" s="1"/>
  <c r="T71" i="2"/>
  <c r="U71" i="2" s="1"/>
  <c r="T77" i="2"/>
  <c r="O56" i="2"/>
  <c r="T56" i="2"/>
  <c r="U26" i="2"/>
  <c r="U28" i="2" s="1"/>
  <c r="U30" i="2" s="1"/>
  <c r="T26" i="2"/>
  <c r="T28" i="2" s="1"/>
  <c r="T30" i="2" s="1"/>
  <c r="R56" i="2"/>
  <c r="K26" i="2"/>
  <c r="K28" i="2" s="1"/>
  <c r="K30" i="2" s="1"/>
  <c r="K31" i="2" s="1"/>
  <c r="AF67" i="2"/>
  <c r="Q56" i="2"/>
  <c r="AF56" i="2"/>
  <c r="P56" i="2"/>
  <c r="P36" i="2"/>
  <c r="R35" i="2"/>
  <c r="Q26" i="2"/>
  <c r="Q28" i="2" s="1"/>
  <c r="Q30" i="2" s="1"/>
  <c r="Q31" i="2" s="1"/>
  <c r="O79" i="2"/>
  <c r="Q35" i="2"/>
  <c r="R26" i="2"/>
  <c r="R28" i="2" s="1"/>
  <c r="R30" i="2" s="1"/>
  <c r="R31" i="2" s="1"/>
  <c r="S79" i="2"/>
  <c r="S56" i="2"/>
  <c r="O26" i="2"/>
  <c r="O28" i="2" s="1"/>
  <c r="O30" i="2" s="1"/>
  <c r="S26" i="2"/>
  <c r="S28" i="2" s="1"/>
  <c r="S30" i="2" s="1"/>
  <c r="AC26" i="2"/>
  <c r="S36" i="2"/>
  <c r="AC28" i="2"/>
  <c r="AC30" i="2" s="1"/>
  <c r="AC31" i="2" s="1"/>
  <c r="K36" i="2"/>
  <c r="AE25" i="2"/>
  <c r="AC36" i="2"/>
  <c r="AE21" i="2"/>
  <c r="AE36" i="2" s="1"/>
  <c r="M20" i="2"/>
  <c r="M36" i="2"/>
  <c r="AE32" i="2"/>
  <c r="N25" i="2"/>
  <c r="M25" i="2"/>
  <c r="M26" i="2" s="1"/>
  <c r="M28" i="2" s="1"/>
  <c r="M30" i="2" s="1"/>
  <c r="M31" i="2" s="1"/>
  <c r="AD26" i="2"/>
  <c r="AD28" i="2" s="1"/>
  <c r="AD30" i="2" s="1"/>
  <c r="M35" i="2"/>
  <c r="K56" i="2"/>
  <c r="L25" i="2"/>
  <c r="L26" i="2" s="1"/>
  <c r="L28" i="2" s="1"/>
  <c r="L30" i="2" s="1"/>
  <c r="L31" i="2" s="1"/>
  <c r="AF22" i="2"/>
  <c r="D26" i="2"/>
  <c r="D28" i="2" s="1"/>
  <c r="D30" i="2" s="1"/>
  <c r="D31" i="2" s="1"/>
  <c r="H26" i="2"/>
  <c r="H28" i="2" s="1"/>
  <c r="H30" i="2" s="1"/>
  <c r="H31" i="2" s="1"/>
  <c r="H36" i="2"/>
  <c r="E26" i="2"/>
  <c r="E28" i="2" s="1"/>
  <c r="E30" i="2" s="1"/>
  <c r="E31" i="2" s="1"/>
  <c r="I26" i="2"/>
  <c r="I28" i="2" s="1"/>
  <c r="I30" i="2" s="1"/>
  <c r="I31" i="2" s="1"/>
  <c r="L36" i="2"/>
  <c r="F26" i="2"/>
  <c r="F28" i="2" s="1"/>
  <c r="F30" i="2" s="1"/>
  <c r="F31" i="2" s="1"/>
  <c r="J26" i="2"/>
  <c r="J28" i="2" s="1"/>
  <c r="J30" i="2" s="1"/>
  <c r="J31" i="2" s="1"/>
  <c r="G26" i="2"/>
  <c r="G28" i="2" s="1"/>
  <c r="G30" i="2" s="1"/>
  <c r="G31" i="2" s="1"/>
  <c r="T72" i="2" l="1"/>
  <c r="V67" i="2"/>
  <c r="V89" i="2" s="1"/>
  <c r="AG62" i="2"/>
  <c r="W31" i="2"/>
  <c r="W58" i="2"/>
  <c r="V58" i="2"/>
  <c r="U67" i="2"/>
  <c r="U89" i="2" s="1"/>
  <c r="AH24" i="2"/>
  <c r="AF39" i="2"/>
  <c r="AG39" i="2"/>
  <c r="AG64" i="2"/>
  <c r="AF68" i="2"/>
  <c r="AF37" i="2"/>
  <c r="AG37" i="2"/>
  <c r="T67" i="2"/>
  <c r="T79" i="2" s="1"/>
  <c r="AG66" i="2"/>
  <c r="AG67" i="2" s="1"/>
  <c r="AH23" i="2"/>
  <c r="AF38" i="2"/>
  <c r="AG38" i="2"/>
  <c r="U72" i="2"/>
  <c r="U79" i="2" s="1"/>
  <c r="V71" i="2"/>
  <c r="V72" i="2" s="1"/>
  <c r="V79" i="2" s="1"/>
  <c r="T31" i="2"/>
  <c r="T58" i="2"/>
  <c r="U31" i="2"/>
  <c r="U58" i="2"/>
  <c r="AD31" i="2"/>
  <c r="AD58" i="2"/>
  <c r="V35" i="2"/>
  <c r="AG19" i="2"/>
  <c r="AG21" i="2" s="1"/>
  <c r="O31" i="2"/>
  <c r="O58" i="2"/>
  <c r="S31" i="2"/>
  <c r="S58" i="2"/>
  <c r="N26" i="2"/>
  <c r="AE26" i="2"/>
  <c r="AE28" i="2" s="1"/>
  <c r="AE30" i="2" s="1"/>
  <c r="N36" i="2"/>
  <c r="AE35" i="2"/>
  <c r="AE20" i="2"/>
  <c r="AH32" i="2"/>
  <c r="AI32" i="2" s="1"/>
  <c r="AJ32" i="2" s="1"/>
  <c r="AK32" i="2" s="1"/>
  <c r="AL32" i="2" s="1"/>
  <c r="AM32" i="2" s="1"/>
  <c r="AF25" i="2"/>
  <c r="AH68" i="2" l="1"/>
  <c r="AG68" i="2"/>
  <c r="AI23" i="2"/>
  <c r="AH38" i="2"/>
  <c r="AI24" i="2"/>
  <c r="AH39" i="2"/>
  <c r="AG58" i="2"/>
  <c r="AE31" i="2"/>
  <c r="AE58" i="2"/>
  <c r="N28" i="2"/>
  <c r="N30" i="2" s="1"/>
  <c r="N31" i="2" s="1"/>
  <c r="AF35" i="2"/>
  <c r="AF21" i="2"/>
  <c r="AF36" i="2" s="1"/>
  <c r="AH22" i="2"/>
  <c r="AH37" i="2" s="1"/>
  <c r="AG25" i="2"/>
  <c r="AG36" i="2"/>
  <c r="AG35" i="2"/>
  <c r="AJ23" i="2" l="1"/>
  <c r="AI38" i="2"/>
  <c r="AJ24" i="2"/>
  <c r="AI39" i="2"/>
  <c r="AF20" i="2"/>
  <c r="AF26" i="2"/>
  <c r="AF28" i="2" s="1"/>
  <c r="AF30" i="2" s="1"/>
  <c r="AH35" i="2"/>
  <c r="AH21" i="2"/>
  <c r="AH36" i="2" s="1"/>
  <c r="AG26" i="2"/>
  <c r="AG28" i="2" s="1"/>
  <c r="AG30" i="2" s="1"/>
  <c r="AG31" i="2" s="1"/>
  <c r="AH25" i="2"/>
  <c r="AI22" i="2"/>
  <c r="AI37" i="2" s="1"/>
  <c r="AK24" i="2" l="1"/>
  <c r="AJ39" i="2"/>
  <c r="AK23" i="2"/>
  <c r="AJ38" i="2"/>
  <c r="AF31" i="2"/>
  <c r="AF58" i="2"/>
  <c r="AH26" i="2"/>
  <c r="AH28" i="2" s="1"/>
  <c r="AH29" i="2" s="1"/>
  <c r="AH30" i="2" s="1"/>
  <c r="AH31" i="2" s="1"/>
  <c r="AH20" i="2"/>
  <c r="AI25" i="2"/>
  <c r="AJ22" i="2"/>
  <c r="AJ37" i="2" s="1"/>
  <c r="AI35" i="2"/>
  <c r="AI21" i="2"/>
  <c r="AK38" i="2" l="1"/>
  <c r="AL23" i="2"/>
  <c r="AK39" i="2"/>
  <c r="AL24" i="2"/>
  <c r="AI20" i="2"/>
  <c r="AI36" i="2"/>
  <c r="AI26" i="2"/>
  <c r="AI28" i="2" s="1"/>
  <c r="AI29" i="2" s="1"/>
  <c r="AI30" i="2" s="1"/>
  <c r="AI31" i="2" s="1"/>
  <c r="AJ35" i="2"/>
  <c r="AJ21" i="2"/>
  <c r="AJ25" i="2"/>
  <c r="AK22" i="2"/>
  <c r="AK37" i="2" s="1"/>
  <c r="AM24" i="2" l="1"/>
  <c r="AM39" i="2" s="1"/>
  <c r="AL39" i="2"/>
  <c r="AM23" i="2"/>
  <c r="AM38" i="2" s="1"/>
  <c r="AL38" i="2"/>
  <c r="AK25" i="2"/>
  <c r="AL22" i="2"/>
  <c r="AL37" i="2" s="1"/>
  <c r="AL35" i="2"/>
  <c r="AL21" i="2"/>
  <c r="AL20" i="2" s="1"/>
  <c r="AJ26" i="2"/>
  <c r="AJ28" i="2" s="1"/>
  <c r="AJ29" i="2" s="1"/>
  <c r="AJ30" i="2" s="1"/>
  <c r="AJ31" i="2" s="1"/>
  <c r="AJ36" i="2"/>
  <c r="AK35" i="2"/>
  <c r="AK21" i="2"/>
  <c r="AJ20" i="2"/>
  <c r="AM22" i="2" l="1"/>
  <c r="AL25" i="2"/>
  <c r="AL26" i="2" s="1"/>
  <c r="AL28" i="2" s="1"/>
  <c r="AL29" i="2" s="1"/>
  <c r="AL30" i="2" s="1"/>
  <c r="AL31" i="2" s="1"/>
  <c r="AL36" i="2"/>
  <c r="AM35" i="2"/>
  <c r="AM21" i="2"/>
  <c r="AM20" i="2" s="1"/>
  <c r="AK36" i="2"/>
  <c r="AK26" i="2"/>
  <c r="AK28" i="2" s="1"/>
  <c r="AK29" i="2" s="1"/>
  <c r="AK30" i="2" s="1"/>
  <c r="AK31" i="2" s="1"/>
  <c r="AK20" i="2"/>
  <c r="AM25" i="2" l="1"/>
  <c r="AM37" i="2"/>
  <c r="AM26" i="2"/>
  <c r="AM28" i="2" s="1"/>
  <c r="AM36" i="2"/>
  <c r="AM29" i="2" l="1"/>
  <c r="AM30" i="2" s="1"/>
  <c r="AM3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tc={D9E34F5C-EE95-4455-81F4-92DEA755CAC7}</author>
    <author>tc={C77F5BE1-47BF-481E-8DF3-1990C840C1DA}</author>
    <author>tc={840217CC-5674-4F6B-90EE-E19650224FA3}</author>
    <author>tc={90C905D7-7F6A-49EF-AFF8-5924934F8021}</author>
    <author>tc={171EA1C7-9DF2-4E4E-94A2-7E461FD1245C}</author>
    <author>tc={D69B3F97-7C79-4F03-B9BA-ACE1F4C6198E}</author>
    <author>tc={54C07574-03BA-4CE9-81A6-E1E3077759F1}</author>
    <author>tc={BD4679AD-E4F1-4099-930D-0A439EE55BBF}</author>
    <author>tc={5D579E32-7183-4E53-9254-36DD804F83F1}</author>
    <author>tc={4718D922-3642-4B6E-9947-FAF641F97E57}</author>
    <author>tc={9ECDA8CE-CCBF-4EF1-B8E5-9B186E5F3F67}</author>
    <author>tc={4CD5B200-8831-4A55-912D-586E0C3A285E}</author>
    <author>tc={7FB04DE7-58D8-49D7-B511-A899F9660455}</author>
    <author>tc={41832036-F80E-4CB0-9251-479B3DE7AD55}</author>
    <author>tc={2E33821A-1F91-411A-90FE-40FD5ECD9135}</author>
  </authors>
  <commentList>
    <comment ref="R19" authorId="0" shapeId="0" xr:uid="{D9E34F5C-EE95-4455-81F4-92DEA755CAC7}">
      <text>
        <t>[Threaded comment]
Your version of Excel allows you to read this threaded comment; however, any edits to it will get removed if the file is opened in a newer version of Excel. Learn more: https://go.microsoft.com/fwlink/?linkid=870924
Comment:
    Q323 guidance: 599-603m</t>
      </text>
    </comment>
    <comment ref="S19" authorId="1" shapeId="0" xr:uid="{C77F5BE1-47BF-481E-8DF3-1990C840C1DA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612-616m</t>
      </text>
    </comment>
    <comment ref="T19" authorId="2" shapeId="0" xr:uid="{840217CC-5674-4F6B-90EE-E19650224FA3}">
      <text>
        <t>[Threaded comment]
Your version of Excel allows you to read this threaded comment; however, any edits to it will get removed if the file is opened in a newer version of Excel. Learn more: https://go.microsoft.com/fwlink/?linkid=870924
Comment:
    Q124 guidance: 649-653m</t>
      </text>
    </comment>
    <comment ref="U19" authorId="3" shapeId="0" xr:uid="{90C905D7-7F6A-49EF-AFF8-5924934F8021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 guidance: 697-701m</t>
      </text>
    </comment>
    <comment ref="V19" authorId="4" shapeId="0" xr:uid="{171EA1C7-9DF2-4E4E-94A2-7E461FD1245C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 guidance: 767-771</t>
      </text>
    </comment>
    <comment ref="W19" authorId="5" shapeId="0" xr:uid="{D69B3F97-7C79-4F03-B9BA-ACE1F4C6198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858-862m</t>
      </text>
    </comment>
    <comment ref="X19" authorId="6" shapeId="0" xr:uid="{54C07574-03BA-4CE9-81A6-E1E3077759F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899m 5/5/25
Guidance from Q1: 934-938</t>
      </text>
    </comment>
    <comment ref="Y19" authorId="7" shapeId="0" xr:uid="{BD4679AD-E4F1-4099-930D-0A439EE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8/4/25: 982m consensus
Q2 guidance: 1.083-1.087m</t>
      </text>
    </comment>
    <comment ref="Z19" authorId="8" shapeId="0" xr:uid="{5D579E32-7183-4E53-9254-36DD804F83F1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8/4/25: 1090m consensus</t>
      </text>
    </comment>
    <comment ref="AH19" authorId="9" shapeId="0" xr:uid="{4718D922-3642-4B6E-9947-FAF641F97E57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3.741-3.757B
Q1 guidance: 3.890-3.902B</t>
      </text>
    </comment>
    <comment ref="AI19" authorId="10" shapeId="0" xr:uid="{9ECDA8CE-CCBF-4EF1-B8E5-9B186E5F3F67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8/4/25: 5010 consensus</t>
      </text>
    </comment>
    <comment ref="W30" authorId="11" shapeId="0" xr:uid="{4CD5B200-8831-4A55-912D-586E0C3A285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354-358m adj income</t>
      </text>
    </comment>
    <comment ref="AH30" authorId="12" shapeId="0" xr:uid="{7FB04DE7-58D8-49D7-B511-A899F966045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 guidance: Adj NI: 1.551-1.567B
Q125 guidance: 1.6-1.8B</t>
      </text>
    </comment>
    <comment ref="W31" authorId="13" shapeId="0" xr:uid="{41832036-F80E-4CB0-9251-479B3DE7AD55}">
      <text>
        <t>[Threaded comment]
Your version of Excel allows you to read this threaded comment; however, any edits to it will get removed if the file is opened in a newer version of Excel. Learn more: https://go.microsoft.com/fwlink/?linkid=870924
Comment:
    0.13 consensus 5/5/25</t>
      </text>
    </comment>
    <comment ref="X31" authorId="14" shapeId="0" xr:uid="{2E33821A-1F91-411A-90FE-40FD5ECD9135}">
      <text>
        <t>[Threaded comment]
Your version of Excel allows you to read this threaded comment; however, any edits to it will get removed if the file is opened in a newer version of Excel. Learn more: https://go.microsoft.com/fwlink/?linkid=870924
Comment:
    8/4/25 consensus: 0.14</t>
      </text>
    </comment>
  </commentList>
</comments>
</file>

<file path=xl/sharedStrings.xml><?xml version="1.0" encoding="utf-8"?>
<sst xmlns="http://schemas.openxmlformats.org/spreadsheetml/2006/main" count="122" uniqueCount="111">
  <si>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</si>
  <si>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</si>
  <si>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</si>
  <si>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</si>
  <si>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</si>
  <si>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</si>
  <si>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</si>
  <si>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</si>
  <si>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</si>
  <si>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</si>
  <si>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</si>
  <si>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</si>
  <si>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</si>
  <si>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</si>
  <si>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</si>
  <si>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</si>
  <si>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</si>
  <si>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</si>
  <si>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</si>
  <si>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</si>
  <si>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</si>
  <si>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</si>
  <si>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</si>
  <si>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</si>
  <si>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</si>
  <si>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</si>
  <si>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</si>
  <si>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</si>
  <si>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</si>
  <si>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</si>
  <si>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</si>
  <si>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</si>
  <si>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</si>
  <si>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</si>
  <si>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</si>
  <si>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</si>
  <si>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</si>
  <si>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</si>
  <si>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</si>
  <si>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</si>
  <si>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</si>
  <si>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</si>
  <si>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</si>
  <si>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</si>
  <si>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</si>
  <si>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</si>
  <si>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</si>
  <si>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</si>
  <si>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</si>
  <si>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</si>
  <si>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</si>
  <si>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</si>
  <si>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</si>
  <si>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</si>
  <si>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</si>
  <si>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</si>
  <si>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</si>
  <si>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</si>
  <si>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</si>
  <si>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</si>
  <si>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</si>
  <si>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</si>
  <si>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</si>
  <si>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</si>
  <si>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</si>
  <si>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</si>
  <si>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</si>
  <si>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</si>
  <si>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</si>
  <si>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</si>
  <si>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</si>
  <si>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</si>
  <si>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</si>
  <si>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</si>
  <si>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</si>
  <si>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</si>
  <si>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</si>
  <si>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</si>
  <si>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</si>
  <si>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</si>
  <si>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</si>
  <si>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</si>
  <si>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</si>
  <si>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</si>
  <si>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</si>
  <si>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</si>
  <si>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</si>
  <si>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</si>
  <si>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</si>
  <si>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</si>
  <si>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</si>
  <si>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</si>
  <si>
    <t>Q125</t>
  </si>
  <si>
    <t>Q225</t>
  </si>
  <si>
    <t>Q325</t>
  </si>
  <si>
    <t>Q425</t>
  </si>
  <si>
    <t>S&amp;M y/y</t>
  </si>
  <si>
    <t>G&amp;A y/y</t>
  </si>
  <si>
    <t>R&amp;D y/y</t>
  </si>
  <si>
    <t>US Commercial</t>
  </si>
  <si>
    <t>US Government</t>
  </si>
  <si>
    <t>ROW Commercial</t>
  </si>
  <si>
    <t>ROW Government</t>
  </si>
  <si>
    <t>US total</t>
  </si>
  <si>
    <t>ROW total</t>
  </si>
  <si>
    <t>US Commercial Value</t>
  </si>
  <si>
    <t>Customer Count</t>
  </si>
  <si>
    <t>US Commercial Customer Count</t>
  </si>
  <si>
    <t>Commercial Customer Count</t>
  </si>
  <si>
    <t>Beat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</si>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</sst>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  <xf numFmtId="9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1" fontId="4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16102</xdr:colOff>
      <xdr:row>0</xdr:row>
      <xdr:rowOff>0</xdr:rowOff>
    </xdr:from>
    <xdr:to>
      <xdr:col>24</xdr:col>
      <xdr:colOff>16102</xdr:colOff>
      <xdr:row>95</xdr:row>
      <xdr:rowOff>99218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5605352" y="0"/>
          <a:ext cx="0" cy="15194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30171</xdr:colOff>
      <xdr:row>0</xdr:row>
      <xdr:rowOff>30764</xdr:rowOff>
    </xdr:from>
    <xdr:to>
      <xdr:col>33</xdr:col>
      <xdr:colOff>30171</xdr:colOff>
      <xdr:row>74</xdr:row>
      <xdr:rowOff>85192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21211562" y="30764"/>
          <a:ext cx="0" cy="116003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66BCB84-E7E4-4632-995E-E05E6DB7594C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9" dT="2025-08-04T17:58:50.49" personId="{566BCB84-E7E4-4632-995E-E05E6DB7594C}" id="{D9E34F5C-EE95-4455-81F4-92DEA755CAC7}">
    <text>Q323 guidance: 599-603m</text>
  </threadedComment>
  <threadedComment ref="S19" dT="2025-08-04T17:57:18.30" personId="{566BCB84-E7E4-4632-995E-E05E6DB7594C}" id="{C77F5BE1-47BF-481E-8DF3-1990C840C1DA}">
    <text>Q4 guidance: 612-616m</text>
  </threadedComment>
  <threadedComment ref="T19" dT="2025-05-05T14:35:15.01" personId="{566BCB84-E7E4-4632-995E-E05E6DB7594C}" id="{840217CC-5674-4F6B-90EE-E19650224FA3}">
    <text>Q124 guidance: 649-653m</text>
  </threadedComment>
  <threadedComment ref="U19" dT="2025-08-04T17:54:20.07" personId="{566BCB84-E7E4-4632-995E-E05E6DB7594C}" id="{90C905D7-7F6A-49EF-AFF8-5924934F8021}">
    <text>Q224 guidance: 697-701m</text>
  </threadedComment>
  <threadedComment ref="V19" dT="2025-08-04T17:51:14.24" personId="{566BCB84-E7E4-4632-995E-E05E6DB7594C}" id="{171EA1C7-9DF2-4E4E-94A2-7E461FD1245C}">
    <text>Q324 guidance: 767-771</text>
  </threadedComment>
  <threadedComment ref="W19" dT="2025-05-05T14:05:30.36" personId="{566BCB84-E7E4-4632-995E-E05E6DB7594C}" id="{D69B3F97-7C79-4F03-B9BA-ACE1F4C6198E}">
    <text>Q424 guidance: 858-862m</text>
  </threadedComment>
  <threadedComment ref="X19" dT="2025-05-05T14:08:45.04" personId="{566BCB84-E7E4-4632-995E-E05E6DB7594C}" id="{54C07574-03BA-4CE9-81A6-E1E3077759F1}">
    <text>Consensus 899m 5/5/25
Guidance from Q1: 934-938</text>
  </threadedComment>
  <threadedComment ref="Y19" dT="2025-08-04T17:43:13.86" personId="{566BCB84-E7E4-4632-995E-E05E6DB7594C}" id="{BD4679AD-E4F1-4099-930D-0A439EE55BBF}">
    <text>8/4/25: 982m consensus
Q2 guidance: 1.083-1.087m</text>
  </threadedComment>
  <threadedComment ref="Z19" dT="2025-08-04T17:43:23.57" personId="{566BCB84-E7E4-4632-995E-E05E6DB7594C}" id="{5D579E32-7183-4E53-9254-36DD804F83F1}">
    <text>8/4/25: 1090m consensus</text>
  </threadedComment>
  <threadedComment ref="AH19" dT="2025-05-05T15:20:42.41" personId="{566BCB84-E7E4-4632-995E-E05E6DB7594C}" id="{4718D922-3642-4B6E-9947-FAF641F97E57}">
    <text>Q4 guidance: 3.741-3.757B
Q1 guidance: 3.890-3.902B</text>
  </threadedComment>
  <threadedComment ref="AI19" dT="2025-08-04T17:43:45.88" personId="{566BCB84-E7E4-4632-995E-E05E6DB7594C}" id="{9ECDA8CE-CCBF-4EF1-B8E5-9B186E5F3F67}">
    <text>8/4/25: 5010 consensus</text>
  </threadedComment>
  <threadedComment ref="W30" dT="2025-05-05T14:41:31.93" personId="{566BCB84-E7E4-4632-995E-E05E6DB7594C}" id="{4CD5B200-8831-4A55-912D-586E0C3A285E}">
    <text>Q424 guidance: 354-358m adj income</text>
  </threadedComment>
  <threadedComment ref="AH30" dT="2025-05-05T15:20:56.81" personId="{566BCB84-E7E4-4632-995E-E05E6DB7594C}" id="{7FB04DE7-58D8-49D7-B511-A899F9660455}">
    <text>Q424 guidance: Adj NI: 1.551-1.567B
Q125 guidance: 1.6-1.8B</text>
  </threadedComment>
  <threadedComment ref="W31" dT="2025-05-05T14:34:10.33" personId="{566BCB84-E7E4-4632-995E-E05E6DB7594C}" id="{41832036-F80E-4CB0-9251-479B3DE7AD55}">
    <text>0.13 consensus 5/5/25</text>
  </threadedComment>
  <threadedComment ref="X31" dT="2025-08-04T17:42:56.58" personId="{566BCB84-E7E4-4632-995E-E05E6DB7594C}" id="{2E33821A-1F91-411A-90FE-40FD5ECD9135}">
    <text>8/4/25 consensus: 0.14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13"/>
  <sheetViews>
    <sheetView tabSelected="1" zoomScale="145" zoomScaleNormal="145" workbookViewId="0"/>
  </sheetViews>
  <sheetFormatPr defaultColWidth="8.81640625" defaultRowHeight="12.5" x14ac:dyDescent="0.25"/>
  <cols>
    <col min="1" max="1" width="2.54296875" customWidth="1"/>
  </cols>
  <sheetData>
    <row r="2" spans="2:13" x14ac:dyDescent="0.25">
      <c r="B2" s="15" t="s">
        <v>72</v>
      </c>
      <c r="K2" t="s">
        <v>0</v>
      </c>
      <c r="L2" s="1">
        <v>173</v>
      </c>
    </row>
    <row r="3" spans="2:13" x14ac:dyDescent="0.25">
      <c r="B3" t="s">
        <v>74</v>
      </c>
      <c r="K3" t="s">
        <v>1</v>
      </c>
      <c r="L3" s="3">
        <f>2262.906259+96.001138</f>
        <v>2358.9073969999999</v>
      </c>
      <c r="M3" s="2" t="s">
        <v>92</v>
      </c>
    </row>
    <row r="4" spans="2:13" x14ac:dyDescent="0.25">
      <c r="K4" t="s">
        <v>2</v>
      </c>
      <c r="L4" s="3">
        <f>L3*L2</f>
        <v>408090.979681</v>
      </c>
    </row>
    <row r="5" spans="2:13" x14ac:dyDescent="0.25">
      <c r="K5" t="s">
        <v>3</v>
      </c>
      <c r="L5" s="3">
        <f>993.464+4437.225</f>
        <v>5430.6890000000003</v>
      </c>
      <c r="M5" s="2" t="s">
        <v>92</v>
      </c>
    </row>
    <row r="6" spans="2:13" x14ac:dyDescent="0.25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92</v>
      </c>
    </row>
    <row r="7" spans="2:13" x14ac:dyDescent="0.25">
      <c r="B7" t="s">
        <v>76</v>
      </c>
      <c r="C7" t="s">
        <v>80</v>
      </c>
      <c r="F7" t="s">
        <v>83</v>
      </c>
      <c r="K7" t="s">
        <v>5</v>
      </c>
      <c r="L7" s="3">
        <f>L4-L5+L6</f>
        <v>402660.29068099998</v>
      </c>
    </row>
    <row r="8" spans="2:13" x14ac:dyDescent="0.25">
      <c r="B8" t="s">
        <v>77</v>
      </c>
      <c r="C8" t="s">
        <v>78</v>
      </c>
    </row>
    <row r="9" spans="2:13" x14ac:dyDescent="0.25">
      <c r="B9" t="s">
        <v>79</v>
      </c>
      <c r="C9" t="s">
        <v>81</v>
      </c>
      <c r="F9" t="s">
        <v>89</v>
      </c>
      <c r="K9" t="s">
        <v>73</v>
      </c>
      <c r="L9">
        <v>2003</v>
      </c>
    </row>
    <row r="13" spans="2:13" ht="13" x14ac:dyDescent="0.3">
      <c r="H13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M89"/>
  <sheetViews>
    <sheetView zoomScale="140" zoomScaleNormal="140" workbookViewId="0">
      <pane xSplit="2" ySplit="2" topLeftCell="AD17" activePane="bottomRight" state="frozen"/>
      <selection pane="topRight" activeCell="C1" sqref="C1"/>
      <selection pane="bottomLeft" activeCell="A3" sqref="A3"/>
      <selection pane="bottomRight" activeCell="AN19" sqref="AN19"/>
    </sheetView>
  </sheetViews>
  <sheetFormatPr defaultColWidth="8.81640625" defaultRowHeight="12.5" x14ac:dyDescent="0.25"/>
  <cols>
    <col min="1" max="1" width="5" bestFit="1" customWidth="1"/>
    <col min="2" max="2" width="20" customWidth="1"/>
    <col min="3" max="14" width="9.1796875" style="2"/>
    <col min="15" max="20" width="8.81640625" style="2"/>
  </cols>
  <sheetData>
    <row r="1" spans="1:39" x14ac:dyDescent="0.25">
      <c r="A1" s="14" t="s">
        <v>6</v>
      </c>
    </row>
    <row r="2" spans="1:39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92</v>
      </c>
      <c r="X2" s="2" t="s">
        <v>93</v>
      </c>
      <c r="Y2" s="2" t="s">
        <v>94</v>
      </c>
      <c r="Z2" s="2" t="s">
        <v>95</v>
      </c>
      <c r="AC2">
        <v>2020</v>
      </c>
      <c r="AD2">
        <f>AC2+1</f>
        <v>2021</v>
      </c>
      <c r="AE2">
        <f>AD2+1</f>
        <v>2022</v>
      </c>
      <c r="AF2">
        <f t="shared" ref="AF2:AM2" si="0">AE2+1</f>
        <v>2023</v>
      </c>
      <c r="AG2">
        <f t="shared" si="0"/>
        <v>2024</v>
      </c>
      <c r="AH2">
        <f t="shared" si="0"/>
        <v>2025</v>
      </c>
      <c r="AI2">
        <f t="shared" si="0"/>
        <v>2026</v>
      </c>
      <c r="AJ2">
        <f t="shared" si="0"/>
        <v>2027</v>
      </c>
      <c r="AK2">
        <f t="shared" si="0"/>
        <v>2028</v>
      </c>
      <c r="AL2">
        <f t="shared" si="0"/>
        <v>2029</v>
      </c>
      <c r="AM2">
        <f t="shared" si="0"/>
        <v>2030</v>
      </c>
    </row>
    <row r="3" spans="1:39" x14ac:dyDescent="0.25">
      <c r="B3" t="s">
        <v>109</v>
      </c>
      <c r="R3" s="4">
        <f>R19-(AVERAGE(599,603))</f>
        <v>7</v>
      </c>
      <c r="S3" s="4">
        <f>S19-(AVERAGE(612,616))</f>
        <v>20.337999999999965</v>
      </c>
      <c r="T3" s="4">
        <f>T19-(AVERAGE(649,653))</f>
        <v>27.134000000000015</v>
      </c>
      <c r="U3" s="4">
        <f>U19-(AVERAGE(697,701))</f>
        <v>26.515999999999963</v>
      </c>
      <c r="V3" s="4">
        <f>V19-(AVERAGE(767,771))</f>
        <v>58.519000000000005</v>
      </c>
      <c r="W3" s="4">
        <f>W19-(AVERAGE(858,862))</f>
        <v>23</v>
      </c>
      <c r="X3" s="4">
        <f>X19-(AVERAGE(934,938))</f>
        <v>68</v>
      </c>
      <c r="Y3" s="2"/>
      <c r="Z3" s="2"/>
    </row>
    <row r="4" spans="1:39" x14ac:dyDescent="0.25">
      <c r="U4" s="2"/>
      <c r="V4" s="2"/>
      <c r="W4" s="2"/>
      <c r="X4" s="2"/>
      <c r="Y4" s="2"/>
      <c r="Z4" s="2"/>
    </row>
    <row r="5" spans="1:39" x14ac:dyDescent="0.25">
      <c r="B5" t="s">
        <v>91</v>
      </c>
      <c r="N5" s="4">
        <v>3700</v>
      </c>
      <c r="O5" s="4"/>
      <c r="P5" s="4"/>
      <c r="Q5" s="4"/>
      <c r="R5" s="4">
        <v>3900</v>
      </c>
      <c r="U5" s="2"/>
      <c r="V5" s="2"/>
      <c r="W5" s="4">
        <v>2320</v>
      </c>
      <c r="X5" s="2"/>
      <c r="Y5" s="2"/>
      <c r="Z5" s="2"/>
      <c r="AE5" s="3">
        <f>+N5</f>
        <v>3700</v>
      </c>
      <c r="AF5" s="3">
        <f>+R5</f>
        <v>3900</v>
      </c>
    </row>
    <row r="6" spans="1:39" x14ac:dyDescent="0.25">
      <c r="B6" t="s">
        <v>105</v>
      </c>
      <c r="N6" s="4"/>
      <c r="O6" s="4"/>
      <c r="P6" s="4"/>
      <c r="Q6" s="4"/>
      <c r="R6" s="4"/>
      <c r="U6" s="2"/>
      <c r="V6" s="2">
        <v>803</v>
      </c>
      <c r="W6" s="2">
        <v>810</v>
      </c>
      <c r="X6" s="2"/>
      <c r="Y6" s="2"/>
      <c r="Z6" s="2"/>
      <c r="AE6" s="3"/>
      <c r="AF6" s="3"/>
    </row>
    <row r="7" spans="1:39" x14ac:dyDescent="0.25">
      <c r="B7" t="s">
        <v>107</v>
      </c>
      <c r="M7" s="2" t="s">
        <v>110</v>
      </c>
      <c r="N7" s="4">
        <v>143</v>
      </c>
      <c r="O7" s="4">
        <v>155</v>
      </c>
      <c r="P7" s="4">
        <v>161</v>
      </c>
      <c r="Q7" s="4">
        <v>181</v>
      </c>
      <c r="R7" s="4">
        <v>221</v>
      </c>
      <c r="S7" s="2">
        <v>262</v>
      </c>
      <c r="T7" s="2">
        <v>295</v>
      </c>
      <c r="U7" s="2">
        <v>321</v>
      </c>
      <c r="V7" s="2">
        <v>382</v>
      </c>
      <c r="W7" s="2">
        <v>432</v>
      </c>
      <c r="X7" s="2"/>
      <c r="Y7" s="2"/>
      <c r="Z7" s="2"/>
      <c r="AE7" s="3"/>
      <c r="AF7" s="3"/>
    </row>
    <row r="8" spans="1:39" x14ac:dyDescent="0.25">
      <c r="B8" t="s">
        <v>108</v>
      </c>
      <c r="M8" s="2">
        <v>228</v>
      </c>
      <c r="N8" s="4">
        <v>260</v>
      </c>
      <c r="O8" s="4">
        <v>280</v>
      </c>
      <c r="P8" s="4">
        <v>302</v>
      </c>
      <c r="Q8" s="4">
        <v>330</v>
      </c>
      <c r="R8" s="4">
        <v>375</v>
      </c>
      <c r="S8" s="2">
        <v>427</v>
      </c>
      <c r="T8" s="2">
        <v>467</v>
      </c>
      <c r="U8" s="2">
        <v>498</v>
      </c>
      <c r="V8" s="2">
        <v>571</v>
      </c>
      <c r="W8" s="2">
        <v>622</v>
      </c>
      <c r="X8" s="2"/>
      <c r="Y8" s="2"/>
      <c r="Z8" s="2"/>
      <c r="AE8" s="3"/>
      <c r="AF8" s="3"/>
    </row>
    <row r="9" spans="1:39" x14ac:dyDescent="0.25">
      <c r="B9" t="s">
        <v>106</v>
      </c>
      <c r="M9" s="2">
        <v>337</v>
      </c>
      <c r="N9" s="2">
        <v>367</v>
      </c>
      <c r="O9" s="2">
        <v>391</v>
      </c>
      <c r="P9" s="2">
        <v>421</v>
      </c>
      <c r="Q9" s="2">
        <v>453</v>
      </c>
      <c r="R9" s="2">
        <v>497</v>
      </c>
      <c r="S9" s="2">
        <v>554</v>
      </c>
      <c r="T9" s="2">
        <v>593</v>
      </c>
      <c r="U9" s="2">
        <v>629</v>
      </c>
      <c r="V9" s="2">
        <v>711</v>
      </c>
      <c r="W9" s="2">
        <v>769</v>
      </c>
      <c r="X9" s="2"/>
      <c r="Y9" s="2"/>
      <c r="Z9" s="2"/>
    </row>
    <row r="10" spans="1:39" x14ac:dyDescent="0.25">
      <c r="U10" s="2"/>
      <c r="V10" s="2"/>
      <c r="W10" s="2"/>
      <c r="X10" s="2"/>
      <c r="Y10" s="2"/>
      <c r="Z10" s="2"/>
    </row>
    <row r="11" spans="1:39" x14ac:dyDescent="0.25">
      <c r="B11" t="s">
        <v>104</v>
      </c>
      <c r="M11" s="2">
        <f t="shared" ref="M11:O11" si="1">+M13+M14</f>
        <v>181</v>
      </c>
      <c r="N11" s="2">
        <f t="shared" si="1"/>
        <v>206</v>
      </c>
      <c r="O11" s="2">
        <f t="shared" si="1"/>
        <v>525</v>
      </c>
      <c r="P11" s="2">
        <f t="shared" ref="P11" si="2">+P13+P14</f>
        <v>206</v>
      </c>
      <c r="Q11" s="2">
        <f t="shared" ref="Q11" si="3">+Q13+Q14</f>
        <v>214</v>
      </c>
      <c r="R11" s="2">
        <f t="shared" ref="R11:W11" si="4">+R13+R14</f>
        <v>240</v>
      </c>
      <c r="S11" s="2">
        <f t="shared" si="4"/>
        <v>227</v>
      </c>
      <c r="T11" s="2">
        <f t="shared" si="4"/>
        <v>241</v>
      </c>
      <c r="U11" s="2">
        <f t="shared" si="4"/>
        <v>226</v>
      </c>
      <c r="V11" s="2">
        <f t="shared" si="4"/>
        <v>270</v>
      </c>
      <c r="W11" s="2">
        <f t="shared" si="4"/>
        <v>256</v>
      </c>
      <c r="X11" s="2"/>
      <c r="Y11" s="2"/>
      <c r="Z11" s="2"/>
    </row>
    <row r="12" spans="1:39" x14ac:dyDescent="0.25">
      <c r="B12" t="s">
        <v>103</v>
      </c>
      <c r="M12" s="2">
        <f t="shared" ref="M12:O12" si="5">+M16+M15</f>
        <v>297</v>
      </c>
      <c r="N12" s="2">
        <f t="shared" si="5"/>
        <v>302</v>
      </c>
      <c r="O12" s="2">
        <f t="shared" si="5"/>
        <v>0</v>
      </c>
      <c r="P12" s="2">
        <f t="shared" ref="P12" si="6">+P16+P15</f>
        <v>328</v>
      </c>
      <c r="Q12" s="2">
        <f t="shared" ref="Q12" si="7">+Q16+Q15</f>
        <v>345</v>
      </c>
      <c r="R12" s="2">
        <f t="shared" ref="R12:W12" si="8">+R16+R15</f>
        <v>368</v>
      </c>
      <c r="S12" s="2">
        <f t="shared" si="8"/>
        <v>407</v>
      </c>
      <c r="T12" s="2">
        <f t="shared" si="8"/>
        <v>437</v>
      </c>
      <c r="U12" s="2">
        <f t="shared" si="8"/>
        <v>499</v>
      </c>
      <c r="V12" s="2">
        <f t="shared" si="8"/>
        <v>557</v>
      </c>
      <c r="W12" s="2">
        <f t="shared" si="8"/>
        <v>628</v>
      </c>
      <c r="X12" s="2"/>
      <c r="Y12" s="2"/>
      <c r="Z12" s="2"/>
    </row>
    <row r="13" spans="1:39" x14ac:dyDescent="0.25">
      <c r="B13" t="s">
        <v>101</v>
      </c>
      <c r="M13" s="2">
        <f t="shared" ref="M13:O13" si="9">+M17-M15</f>
        <v>116</v>
      </c>
      <c r="N13" s="2">
        <f t="shared" si="9"/>
        <v>138</v>
      </c>
      <c r="O13" s="2">
        <f t="shared" si="9"/>
        <v>236</v>
      </c>
      <c r="P13" s="2">
        <f t="shared" ref="P13" si="10">+P17-P15</f>
        <v>129</v>
      </c>
      <c r="Q13" s="2">
        <f t="shared" ref="Q13" si="11">+Q17-Q15</f>
        <v>135</v>
      </c>
      <c r="R13" s="2">
        <f t="shared" ref="R13:W14" si="12">+R17-R15</f>
        <v>153</v>
      </c>
      <c r="S13" s="2">
        <f t="shared" si="12"/>
        <v>149</v>
      </c>
      <c r="T13" s="2">
        <f t="shared" si="12"/>
        <v>148</v>
      </c>
      <c r="U13" s="2">
        <f t="shared" si="12"/>
        <v>138</v>
      </c>
      <c r="V13" s="2">
        <f t="shared" si="12"/>
        <v>158</v>
      </c>
      <c r="W13" s="2">
        <f t="shared" si="12"/>
        <v>142</v>
      </c>
      <c r="X13" s="2"/>
      <c r="Y13" s="2"/>
      <c r="Z13" s="2"/>
    </row>
    <row r="14" spans="1:39" x14ac:dyDescent="0.25">
      <c r="B14" t="s">
        <v>102</v>
      </c>
      <c r="M14" s="2">
        <f t="shared" ref="M14:O14" si="13">+M18-M16</f>
        <v>65</v>
      </c>
      <c r="N14" s="2">
        <f t="shared" si="13"/>
        <v>68</v>
      </c>
      <c r="O14" s="2">
        <f t="shared" si="13"/>
        <v>289</v>
      </c>
      <c r="P14" s="2">
        <f t="shared" ref="P14" si="14">+P18-P16</f>
        <v>77</v>
      </c>
      <c r="Q14" s="2">
        <f t="shared" ref="Q14" si="15">+Q18-Q16</f>
        <v>79</v>
      </c>
      <c r="R14" s="2">
        <f t="shared" si="12"/>
        <v>87</v>
      </c>
      <c r="S14" s="2">
        <f t="shared" si="12"/>
        <v>78</v>
      </c>
      <c r="T14" s="2">
        <f t="shared" si="12"/>
        <v>93</v>
      </c>
      <c r="U14" s="2">
        <f t="shared" si="12"/>
        <v>88</v>
      </c>
      <c r="V14" s="2">
        <f t="shared" si="12"/>
        <v>112</v>
      </c>
      <c r="W14" s="2">
        <f t="shared" si="12"/>
        <v>114</v>
      </c>
      <c r="X14" s="2"/>
      <c r="Y14" s="2"/>
      <c r="Z14" s="2"/>
    </row>
    <row r="15" spans="1:39" x14ac:dyDescent="0.25">
      <c r="B15" t="s">
        <v>99</v>
      </c>
      <c r="M15" s="2">
        <v>88</v>
      </c>
      <c r="N15" s="2">
        <v>77</v>
      </c>
      <c r="P15" s="2">
        <v>103</v>
      </c>
      <c r="Q15" s="2">
        <v>116</v>
      </c>
      <c r="R15" s="2">
        <v>131</v>
      </c>
      <c r="S15" s="2">
        <v>150</v>
      </c>
      <c r="T15" s="2">
        <v>159</v>
      </c>
      <c r="U15" s="2">
        <v>179</v>
      </c>
      <c r="V15" s="2">
        <v>214</v>
      </c>
      <c r="W15" s="2">
        <v>255</v>
      </c>
      <c r="X15" s="2"/>
      <c r="Y15" s="2"/>
      <c r="Z15" s="2"/>
    </row>
    <row r="16" spans="1:39" x14ac:dyDescent="0.25">
      <c r="B16" t="s">
        <v>100</v>
      </c>
      <c r="M16" s="2">
        <v>209</v>
      </c>
      <c r="N16" s="2">
        <v>225</v>
      </c>
      <c r="P16" s="2">
        <v>225</v>
      </c>
      <c r="Q16" s="2">
        <v>229</v>
      </c>
      <c r="R16" s="2">
        <v>237</v>
      </c>
      <c r="S16" s="2">
        <v>257</v>
      </c>
      <c r="T16" s="2">
        <v>278</v>
      </c>
      <c r="U16" s="2">
        <v>320</v>
      </c>
      <c r="V16" s="2">
        <v>343</v>
      </c>
      <c r="W16" s="2">
        <v>373</v>
      </c>
      <c r="X16" s="2"/>
      <c r="Y16" s="2"/>
      <c r="Z16" s="2"/>
    </row>
    <row r="17" spans="2:39" x14ac:dyDescent="0.25">
      <c r="B17" t="s">
        <v>70</v>
      </c>
      <c r="M17" s="2">
        <v>204</v>
      </c>
      <c r="N17" s="2">
        <v>215</v>
      </c>
      <c r="O17" s="2">
        <v>236</v>
      </c>
      <c r="P17" s="2">
        <v>232</v>
      </c>
      <c r="Q17" s="2">
        <v>251</v>
      </c>
      <c r="R17" s="2">
        <v>284</v>
      </c>
      <c r="S17" s="2">
        <v>299</v>
      </c>
      <c r="T17" s="2">
        <v>307</v>
      </c>
      <c r="U17" s="2">
        <v>317</v>
      </c>
      <c r="V17" s="2">
        <v>372</v>
      </c>
      <c r="W17" s="2">
        <v>397</v>
      </c>
      <c r="X17" s="2"/>
      <c r="Y17" s="2"/>
      <c r="Z17" s="2"/>
      <c r="AE17" s="3">
        <v>834</v>
      </c>
      <c r="AF17" s="3">
        <f>SUM(O17:R17)</f>
        <v>1003</v>
      </c>
    </row>
    <row r="18" spans="2:39" x14ac:dyDescent="0.25">
      <c r="B18" t="s">
        <v>71</v>
      </c>
      <c r="M18" s="2">
        <v>274</v>
      </c>
      <c r="N18" s="2">
        <v>293</v>
      </c>
      <c r="O18" s="2">
        <v>289</v>
      </c>
      <c r="P18" s="2">
        <v>302</v>
      </c>
      <c r="Q18" s="2">
        <v>308</v>
      </c>
      <c r="R18" s="2">
        <v>324</v>
      </c>
      <c r="S18" s="2">
        <v>335</v>
      </c>
      <c r="T18" s="2">
        <v>371</v>
      </c>
      <c r="U18" s="2">
        <v>408</v>
      </c>
      <c r="V18" s="2">
        <v>455</v>
      </c>
      <c r="W18" s="2">
        <v>487</v>
      </c>
      <c r="X18" s="2"/>
      <c r="Y18" s="2"/>
      <c r="Z18" s="2"/>
      <c r="AE18" s="3">
        <v>1071.7760000000001</v>
      </c>
      <c r="AF18" s="3">
        <f>SUM(O18:R18)</f>
        <v>1223</v>
      </c>
    </row>
    <row r="19" spans="2:39" s="5" customFormat="1" ht="13" x14ac:dyDescent="0.3">
      <c r="B19" s="5" t="s">
        <v>7</v>
      </c>
      <c r="C19" s="6"/>
      <c r="D19" s="6">
        <v>251.88900000000001</v>
      </c>
      <c r="E19" s="6">
        <v>289.36599999999999</v>
      </c>
      <c r="F19" s="6">
        <v>322.09100000000001</v>
      </c>
      <c r="G19" s="6">
        <v>341.23399999999998</v>
      </c>
      <c r="H19" s="6">
        <v>375.642</v>
      </c>
      <c r="I19" s="6">
        <v>392.14600000000002</v>
      </c>
      <c r="J19" s="6">
        <v>432.86700000000002</v>
      </c>
      <c r="K19" s="6">
        <v>446.35700000000003</v>
      </c>
      <c r="L19" s="6">
        <v>473.01</v>
      </c>
      <c r="M19" s="6">
        <v>477.88</v>
      </c>
      <c r="N19" s="6">
        <v>508.62400000000002</v>
      </c>
      <c r="O19" s="6">
        <v>525.18600000000004</v>
      </c>
      <c r="P19" s="6">
        <v>533.31700000000001</v>
      </c>
      <c r="Q19" s="6">
        <v>558.15899999999999</v>
      </c>
      <c r="R19" s="6">
        <f>+R18+R17</f>
        <v>608</v>
      </c>
      <c r="S19" s="6">
        <v>634.33799999999997</v>
      </c>
      <c r="T19" s="5">
        <v>678.13400000000001</v>
      </c>
      <c r="U19" s="5">
        <v>725.51599999999996</v>
      </c>
      <c r="V19" s="5">
        <v>827.51900000000001</v>
      </c>
      <c r="W19" s="5">
        <v>883</v>
      </c>
      <c r="X19" s="5">
        <v>1004</v>
      </c>
      <c r="Y19" s="5">
        <f>+U19*1.5</f>
        <v>1088.2739999999999</v>
      </c>
      <c r="Z19" s="5">
        <f>+V19*1.5</f>
        <v>1241.2784999999999</v>
      </c>
      <c r="AC19" s="5">
        <v>1092.673</v>
      </c>
      <c r="AD19" s="5">
        <v>1541.8889999999999</v>
      </c>
      <c r="AE19" s="5">
        <f>SUM(K19:N19)</f>
        <v>1905.8709999999999</v>
      </c>
      <c r="AF19" s="5">
        <f>SUM(O19:R19)</f>
        <v>2224.6620000000003</v>
      </c>
      <c r="AG19" s="5">
        <f>SUM(S19:V19)</f>
        <v>2865.5069999999996</v>
      </c>
      <c r="AH19" s="5">
        <f>SUM(W19:Z19)</f>
        <v>4216.5524999999998</v>
      </c>
      <c r="AI19" s="5">
        <f>AH19*1.6</f>
        <v>6746.4840000000004</v>
      </c>
      <c r="AJ19" s="5">
        <f>AI19*1.5</f>
        <v>10119.726000000001</v>
      </c>
      <c r="AK19" s="5">
        <f>AJ19*1.4</f>
        <v>14167.616400000001</v>
      </c>
      <c r="AL19" s="5">
        <f>AK19*1.4</f>
        <v>19834.662960000001</v>
      </c>
      <c r="AM19" s="5">
        <f>AL19*1.4</f>
        <v>27768.528144</v>
      </c>
    </row>
    <row r="20" spans="2:39" s="3" customFormat="1" x14ac:dyDescent="0.25">
      <c r="B20" s="3" t="s">
        <v>20</v>
      </c>
      <c r="C20" s="4"/>
      <c r="D20" s="4">
        <v>68.41</v>
      </c>
      <c r="E20" s="13">
        <v>149.34</v>
      </c>
      <c r="F20" s="4">
        <v>70.503</v>
      </c>
      <c r="G20" s="4">
        <v>74.111000000000004</v>
      </c>
      <c r="H20" s="4">
        <v>90.926000000000002</v>
      </c>
      <c r="I20" s="4">
        <v>86.804000000000002</v>
      </c>
      <c r="J20" s="4">
        <v>87.563000000000002</v>
      </c>
      <c r="K20" s="4">
        <v>94.403000000000006</v>
      </c>
      <c r="L20" s="4">
        <v>102.224</v>
      </c>
      <c r="M20" s="4">
        <f t="shared" ref="M20" si="16">M19-M21</f>
        <v>95.575999999999965</v>
      </c>
      <c r="N20" s="4">
        <v>104.31100000000001</v>
      </c>
      <c r="O20" s="4">
        <f>107.645-9.177</f>
        <v>98.467999999999989</v>
      </c>
      <c r="P20" s="4">
        <f>106.899-8.004</f>
        <v>98.894999999999996</v>
      </c>
      <c r="Q20" s="4">
        <f>107.922-7.814</f>
        <v>100.108</v>
      </c>
      <c r="R20" s="4">
        <f>108.639-11</f>
        <v>97.638999999999996</v>
      </c>
      <c r="S20" s="4">
        <f>116.256-10.416</f>
        <v>105.84</v>
      </c>
      <c r="T20" s="3">
        <f>128.562-12.402</f>
        <v>116.16000000000001</v>
      </c>
      <c r="U20" s="3">
        <f>146.639-13.123</f>
        <v>133.51600000000002</v>
      </c>
      <c r="V20" s="3">
        <f>174.533-33.124</f>
        <v>141.40899999999999</v>
      </c>
      <c r="W20" s="3">
        <f>172.97-15.016</f>
        <v>157.95400000000001</v>
      </c>
      <c r="X20" s="3">
        <f t="shared" ref="X20:Z20" si="17">+X19-X21</f>
        <v>170.68000000000006</v>
      </c>
      <c r="Y20" s="3">
        <f t="shared" si="17"/>
        <v>185.00657999999999</v>
      </c>
      <c r="Z20" s="3">
        <f t="shared" si="17"/>
        <v>211.01734499999998</v>
      </c>
      <c r="AC20" s="3">
        <v>352.54700000000003</v>
      </c>
      <c r="AD20" s="3">
        <v>339.404</v>
      </c>
      <c r="AE20" s="3">
        <f>AE19-AE21</f>
        <v>381.17419999999993</v>
      </c>
      <c r="AF20" s="3">
        <f t="shared" ref="AF20:AH20" si="18">AF19-AF21</f>
        <v>444.93239999999992</v>
      </c>
      <c r="AG20" s="3">
        <f>SUM(S20:V20)</f>
        <v>496.92500000000001</v>
      </c>
      <c r="AH20" s="3">
        <f t="shared" si="18"/>
        <v>843.31049999999959</v>
      </c>
      <c r="AI20" s="3">
        <f t="shared" ref="AI20" si="19">AI19-AI21</f>
        <v>1349.2968000000001</v>
      </c>
      <c r="AJ20" s="3">
        <f t="shared" ref="AJ20" si="20">AJ19-AJ21</f>
        <v>2023.9452000000001</v>
      </c>
      <c r="AK20" s="3">
        <f t="shared" ref="AK20:AM20" si="21">AK19-AK21</f>
        <v>2833.5232799999994</v>
      </c>
      <c r="AL20" s="3">
        <f t="shared" si="21"/>
        <v>3966.9325919999992</v>
      </c>
      <c r="AM20" s="3">
        <f t="shared" si="21"/>
        <v>5553.7056287999985</v>
      </c>
    </row>
    <row r="21" spans="2:39" s="3" customFormat="1" x14ac:dyDescent="0.25">
      <c r="B21" s="3" t="s">
        <v>21</v>
      </c>
      <c r="C21" s="4"/>
      <c r="D21" s="4">
        <f t="shared" ref="D21:K21" si="22">D19-D20</f>
        <v>183.47900000000001</v>
      </c>
      <c r="E21" s="4">
        <f t="shared" si="22"/>
        <v>140.02599999999998</v>
      </c>
      <c r="F21" s="4">
        <f t="shared" si="22"/>
        <v>251.58800000000002</v>
      </c>
      <c r="G21" s="4">
        <f t="shared" si="22"/>
        <v>267.12299999999999</v>
      </c>
      <c r="H21" s="4">
        <f t="shared" si="22"/>
        <v>284.71600000000001</v>
      </c>
      <c r="I21" s="4">
        <f t="shared" si="22"/>
        <v>305.34199999999998</v>
      </c>
      <c r="J21" s="4">
        <f t="shared" si="22"/>
        <v>345.30400000000003</v>
      </c>
      <c r="K21" s="4">
        <f t="shared" si="22"/>
        <v>351.95400000000001</v>
      </c>
      <c r="L21" s="4">
        <f>+L19-L20</f>
        <v>370.786</v>
      </c>
      <c r="M21" s="4">
        <f t="shared" ref="M21" si="23">M19*0.8</f>
        <v>382.30400000000003</v>
      </c>
      <c r="N21" s="4">
        <f t="shared" ref="N21:S21" si="24">+N19-N20</f>
        <v>404.31299999999999</v>
      </c>
      <c r="O21" s="4">
        <f t="shared" si="24"/>
        <v>426.71800000000007</v>
      </c>
      <c r="P21" s="4">
        <f t="shared" si="24"/>
        <v>434.42200000000003</v>
      </c>
      <c r="Q21" s="4">
        <f t="shared" si="24"/>
        <v>458.05099999999999</v>
      </c>
      <c r="R21" s="4">
        <f t="shared" si="24"/>
        <v>510.36099999999999</v>
      </c>
      <c r="S21" s="4">
        <f t="shared" si="24"/>
        <v>528.49799999999993</v>
      </c>
      <c r="T21" s="3">
        <f>+T19-T20</f>
        <v>561.97400000000005</v>
      </c>
      <c r="U21" s="3">
        <f>+U19-U20</f>
        <v>592</v>
      </c>
      <c r="V21" s="3">
        <f>+V19-V20</f>
        <v>686.11</v>
      </c>
      <c r="W21" s="3">
        <f>+W19-W20</f>
        <v>725.04600000000005</v>
      </c>
      <c r="X21" s="3">
        <f t="shared" ref="X21:Z21" si="25">+X19*0.83</f>
        <v>833.31999999999994</v>
      </c>
      <c r="Y21" s="3">
        <f t="shared" si="25"/>
        <v>903.2674199999999</v>
      </c>
      <c r="Z21" s="3">
        <f t="shared" si="25"/>
        <v>1030.2611549999999</v>
      </c>
      <c r="AC21" s="3">
        <f>AC19-AC20</f>
        <v>740.12599999999998</v>
      </c>
      <c r="AD21" s="3">
        <f>AD19-AD20</f>
        <v>1202.4849999999999</v>
      </c>
      <c r="AE21" s="3">
        <f>AE19*0.8</f>
        <v>1524.6967999999999</v>
      </c>
      <c r="AF21" s="3">
        <f t="shared" ref="AF21:AH21" si="26">AF19*0.8</f>
        <v>1779.7296000000003</v>
      </c>
      <c r="AG21" s="3">
        <f>+AG19-AG20</f>
        <v>2368.5819999999994</v>
      </c>
      <c r="AH21" s="3">
        <f t="shared" si="26"/>
        <v>3373.2420000000002</v>
      </c>
      <c r="AI21" s="3">
        <f t="shared" ref="AI21" si="27">AI19*0.8</f>
        <v>5397.1872000000003</v>
      </c>
      <c r="AJ21" s="3">
        <f t="shared" ref="AJ21:AK21" si="28">AJ19*0.8</f>
        <v>8095.7808000000005</v>
      </c>
      <c r="AK21" s="3">
        <f t="shared" si="28"/>
        <v>11334.093120000001</v>
      </c>
      <c r="AL21" s="3">
        <f t="shared" ref="AL21:AM21" si="29">AL19*0.8</f>
        <v>15867.730368000002</v>
      </c>
      <c r="AM21" s="3">
        <f t="shared" si="29"/>
        <v>22214.822515200001</v>
      </c>
    </row>
    <row r="22" spans="2:39" s="3" customFormat="1" x14ac:dyDescent="0.25">
      <c r="B22" s="3" t="s">
        <v>22</v>
      </c>
      <c r="C22" s="4"/>
      <c r="D22" s="4">
        <v>102.518</v>
      </c>
      <c r="E22" s="4">
        <v>334.911</v>
      </c>
      <c r="F22" s="4">
        <v>147.619</v>
      </c>
      <c r="G22" s="4">
        <v>136.09700000000001</v>
      </c>
      <c r="H22" s="4">
        <v>162.37899999999999</v>
      </c>
      <c r="I22" s="4">
        <v>153.44300000000001</v>
      </c>
      <c r="J22" s="4">
        <v>162.59299999999999</v>
      </c>
      <c r="K22" s="4">
        <v>160.48500000000001</v>
      </c>
      <c r="L22" s="4">
        <v>168.875</v>
      </c>
      <c r="M22" s="4">
        <f t="shared" ref="M22" si="30">L22+1</f>
        <v>169.875</v>
      </c>
      <c r="N22" s="4">
        <v>190.233</v>
      </c>
      <c r="O22" s="4">
        <f>187.093-39.535</f>
        <v>147.55799999999999</v>
      </c>
      <c r="P22" s="4">
        <f>184.163-38.131</f>
        <v>146.03200000000001</v>
      </c>
      <c r="Q22" s="4">
        <f>176.373-39.29</f>
        <v>137.083</v>
      </c>
      <c r="R22" s="4">
        <f>197.363-43.689</f>
        <v>153.67400000000001</v>
      </c>
      <c r="S22" s="4">
        <f>193.177-42.156</f>
        <v>151.02099999999999</v>
      </c>
      <c r="T22" s="3">
        <f>196.809-48.314</f>
        <v>148.495</v>
      </c>
      <c r="U22" s="3">
        <f>209.474-50.698</f>
        <v>158.77599999999998</v>
      </c>
      <c r="V22" s="3">
        <f>288.295-97.953</f>
        <v>190.34200000000001</v>
      </c>
      <c r="W22" s="3">
        <f>236.309-52.513</f>
        <v>183.79599999999999</v>
      </c>
      <c r="X22" s="3">
        <f t="shared" ref="X22:Z22" si="31">+T22*1.24</f>
        <v>184.13380000000001</v>
      </c>
      <c r="Y22" s="3">
        <f t="shared" si="31"/>
        <v>196.88223999999997</v>
      </c>
      <c r="Z22" s="3">
        <f t="shared" si="31"/>
        <v>236.02408000000003</v>
      </c>
      <c r="AC22" s="3">
        <v>683.70100000000002</v>
      </c>
      <c r="AD22" s="3">
        <v>614.51199999999994</v>
      </c>
      <c r="AE22" s="3">
        <f>AD22*1.1</f>
        <v>675.96320000000003</v>
      </c>
      <c r="AF22" s="3">
        <f t="shared" ref="AF22:AH22" si="32">AE22*1.1</f>
        <v>743.55952000000013</v>
      </c>
      <c r="AG22" s="3">
        <f t="shared" ref="AG22:AG24" si="33">SUM(S22:V22)</f>
        <v>648.6339999999999</v>
      </c>
      <c r="AH22" s="3">
        <f t="shared" si="32"/>
        <v>713.49739999999997</v>
      </c>
      <c r="AI22" s="3">
        <f t="shared" ref="AI22" si="34">AH22*1.1</f>
        <v>784.84714000000008</v>
      </c>
      <c r="AJ22" s="3">
        <f t="shared" ref="AJ22:AK22" si="35">AI22*1.1</f>
        <v>863.33185400000013</v>
      </c>
      <c r="AK22" s="3">
        <f t="shared" si="35"/>
        <v>949.66503940000018</v>
      </c>
      <c r="AL22" s="3">
        <f t="shared" ref="AL22:AL24" si="36">AK22*1.1</f>
        <v>1044.6315433400002</v>
      </c>
      <c r="AM22" s="3">
        <f t="shared" ref="AM22:AM24" si="37">AL22*1.1</f>
        <v>1149.0946976740004</v>
      </c>
    </row>
    <row r="23" spans="2:39" s="3" customFormat="1" x14ac:dyDescent="0.25">
      <c r="B23" s="3" t="s">
        <v>23</v>
      </c>
      <c r="C23" s="4"/>
      <c r="D23" s="4">
        <v>86.814999999999998</v>
      </c>
      <c r="E23" s="4">
        <v>313.91500000000002</v>
      </c>
      <c r="F23" s="4">
        <v>94.13</v>
      </c>
      <c r="G23" s="4">
        <v>98.471000000000004</v>
      </c>
      <c r="H23" s="4">
        <v>110.524</v>
      </c>
      <c r="I23" s="4">
        <v>94.316000000000003</v>
      </c>
      <c r="J23" s="4">
        <v>84.176000000000002</v>
      </c>
      <c r="K23" s="4">
        <v>88.600999999999999</v>
      </c>
      <c r="L23" s="4">
        <v>88.171000000000006</v>
      </c>
      <c r="M23" s="4">
        <f t="shared" ref="M23" si="38">L23+1</f>
        <v>89.171000000000006</v>
      </c>
      <c r="N23" s="4">
        <v>82.043999999999997</v>
      </c>
      <c r="O23" s="4">
        <f>90.1-19.924</f>
        <v>70.175999999999988</v>
      </c>
      <c r="P23" s="4">
        <f>99.533-23.192</f>
        <v>76.341000000000008</v>
      </c>
      <c r="Q23" s="4">
        <f>105.708-21.952</f>
        <v>83.756</v>
      </c>
      <c r="R23" s="4">
        <f>109.283-32.996</f>
        <v>76.287000000000006</v>
      </c>
      <c r="S23" s="4">
        <f>110.04-26.874</f>
        <v>83.166000000000011</v>
      </c>
      <c r="T23" s="3">
        <f>108.781-29.943</f>
        <v>78.838000000000008</v>
      </c>
      <c r="U23" s="3">
        <f>117.555-30.715</f>
        <v>86.84</v>
      </c>
      <c r="V23" s="3">
        <f>171.502-77.533</f>
        <v>93.969000000000008</v>
      </c>
      <c r="W23" s="3">
        <f>134.889-31.834</f>
        <v>103.05500000000001</v>
      </c>
      <c r="X23" s="3">
        <f t="shared" ref="X23:Z23" si="39">+T23*1.2</f>
        <v>94.60560000000001</v>
      </c>
      <c r="Y23" s="3">
        <f t="shared" si="39"/>
        <v>104.208</v>
      </c>
      <c r="Z23" s="3">
        <f t="shared" si="39"/>
        <v>112.76280000000001</v>
      </c>
      <c r="AC23" s="3">
        <v>560.66</v>
      </c>
      <c r="AD23" s="3">
        <v>387.48700000000002</v>
      </c>
      <c r="AE23" s="3">
        <f t="shared" ref="AE23:AH23" si="40">AD23*1.1</f>
        <v>426.23570000000007</v>
      </c>
      <c r="AF23" s="3">
        <f t="shared" si="40"/>
        <v>468.85927000000009</v>
      </c>
      <c r="AG23" s="3">
        <f t="shared" si="33"/>
        <v>342.81300000000005</v>
      </c>
      <c r="AH23" s="3">
        <f t="shared" si="40"/>
        <v>377.09430000000009</v>
      </c>
      <c r="AI23" s="3">
        <f t="shared" ref="AI23" si="41">AH23*1.1</f>
        <v>414.80373000000014</v>
      </c>
      <c r="AJ23" s="3">
        <f t="shared" ref="AJ23:AK23" si="42">AI23*1.1</f>
        <v>456.28410300000019</v>
      </c>
      <c r="AK23" s="3">
        <f t="shared" si="42"/>
        <v>501.91251330000023</v>
      </c>
      <c r="AL23" s="3">
        <f t="shared" si="36"/>
        <v>552.10376463000034</v>
      </c>
      <c r="AM23" s="3">
        <f t="shared" si="37"/>
        <v>607.31414109300044</v>
      </c>
    </row>
    <row r="24" spans="2:39" s="3" customFormat="1" x14ac:dyDescent="0.25">
      <c r="B24" s="3" t="s">
        <v>24</v>
      </c>
      <c r="C24" s="4"/>
      <c r="D24" s="4">
        <v>93.290999999999997</v>
      </c>
      <c r="E24" s="4">
        <v>338.97699999999998</v>
      </c>
      <c r="F24" s="4">
        <v>166.411</v>
      </c>
      <c r="G24" s="4">
        <v>146.56899999999999</v>
      </c>
      <c r="H24" s="4">
        <v>157.96100000000001</v>
      </c>
      <c r="I24" s="4">
        <v>149.524</v>
      </c>
      <c r="J24" s="4">
        <v>157.47800000000001</v>
      </c>
      <c r="K24" s="4">
        <v>142.30699999999999</v>
      </c>
      <c r="L24" s="4">
        <v>155.48500000000001</v>
      </c>
      <c r="M24" s="4">
        <f t="shared" ref="M24" si="43">L24+1</f>
        <v>156.48500000000001</v>
      </c>
      <c r="N24" s="4">
        <v>149.86199999999999</v>
      </c>
      <c r="O24" s="4">
        <f>136.233-46.078</f>
        <v>90.155000000000001</v>
      </c>
      <c r="P24" s="4">
        <f>132.648-44.874</f>
        <v>87.774000000000001</v>
      </c>
      <c r="Q24" s="4">
        <f>128.173-45.324</f>
        <v>82.849000000000004</v>
      </c>
      <c r="R24" s="4">
        <f>127.271-44.923</f>
        <v>82.347999999999999</v>
      </c>
      <c r="S24" s="4">
        <f>133.984-46.205</f>
        <v>87.779000000000011</v>
      </c>
      <c r="T24" s="3">
        <f>138.643-1.105</f>
        <v>137.53800000000001</v>
      </c>
      <c r="U24" s="3">
        <f>138.708-47.889</f>
        <v>90.818999999999988</v>
      </c>
      <c r="V24" s="3">
        <f>182.146-73.188</f>
        <v>108.95799999999998</v>
      </c>
      <c r="W24" s="3">
        <f>163.639-55.976</f>
        <v>107.66300000000001</v>
      </c>
      <c r="X24" s="3">
        <f t="shared" ref="X24:Z24" si="44">+T24*1.3</f>
        <v>178.79940000000002</v>
      </c>
      <c r="Y24" s="3">
        <f t="shared" si="44"/>
        <v>118.06469999999999</v>
      </c>
      <c r="Z24" s="3">
        <f t="shared" si="44"/>
        <v>141.6454</v>
      </c>
      <c r="AC24" s="3">
        <v>669.44399999999996</v>
      </c>
      <c r="AD24" s="3">
        <v>611.53200000000004</v>
      </c>
      <c r="AE24" s="3">
        <f t="shared" ref="AE24:AH24" si="45">AD24*1.1</f>
        <v>672.68520000000012</v>
      </c>
      <c r="AF24" s="3">
        <f t="shared" si="45"/>
        <v>739.9537200000002</v>
      </c>
      <c r="AG24" s="3">
        <f t="shared" si="33"/>
        <v>425.09399999999994</v>
      </c>
      <c r="AH24" s="3">
        <f t="shared" si="45"/>
        <v>467.60339999999997</v>
      </c>
      <c r="AI24" s="3">
        <f t="shared" ref="AI24" si="46">AH24*1.1</f>
        <v>514.36374000000001</v>
      </c>
      <c r="AJ24" s="3">
        <f t="shared" ref="AJ24:AK24" si="47">AI24*1.1</f>
        <v>565.80011400000001</v>
      </c>
      <c r="AK24" s="3">
        <f t="shared" si="47"/>
        <v>622.38012540000011</v>
      </c>
      <c r="AL24" s="3">
        <f t="shared" si="36"/>
        <v>684.61813794000022</v>
      </c>
      <c r="AM24" s="3">
        <f t="shared" si="37"/>
        <v>753.07995173400036</v>
      </c>
    </row>
    <row r="25" spans="2:39" s="3" customFormat="1" x14ac:dyDescent="0.25">
      <c r="B25" s="3" t="s">
        <v>25</v>
      </c>
      <c r="C25" s="4"/>
      <c r="D25" s="4">
        <f t="shared" ref="D25:L25" si="48">SUM(D22:D24)</f>
        <v>282.62400000000002</v>
      </c>
      <c r="E25" s="4">
        <f t="shared" si="48"/>
        <v>987.803</v>
      </c>
      <c r="F25" s="4">
        <f t="shared" si="48"/>
        <v>408.15999999999997</v>
      </c>
      <c r="G25" s="4">
        <f t="shared" si="48"/>
        <v>381.137</v>
      </c>
      <c r="H25" s="4">
        <f t="shared" si="48"/>
        <v>430.86400000000003</v>
      </c>
      <c r="I25" s="4">
        <f t="shared" si="48"/>
        <v>397.28300000000002</v>
      </c>
      <c r="J25" s="4">
        <f t="shared" si="48"/>
        <v>404.24700000000001</v>
      </c>
      <c r="K25" s="4">
        <f t="shared" si="48"/>
        <v>391.39300000000003</v>
      </c>
      <c r="L25" s="4">
        <f t="shared" si="48"/>
        <v>412.53100000000001</v>
      </c>
      <c r="M25" s="4">
        <f t="shared" ref="M25:N25" si="49">SUM(M22:M24)</f>
        <v>415.53100000000001</v>
      </c>
      <c r="N25" s="4">
        <f t="shared" si="49"/>
        <v>422.13900000000001</v>
      </c>
      <c r="O25" s="4">
        <f t="shared" ref="O25:W25" si="50">+O22+O23+O24</f>
        <v>307.88900000000001</v>
      </c>
      <c r="P25" s="4">
        <f t="shared" si="50"/>
        <v>310.14700000000005</v>
      </c>
      <c r="Q25" s="4">
        <f t="shared" si="50"/>
        <v>303.68799999999999</v>
      </c>
      <c r="R25" s="4">
        <f t="shared" si="50"/>
        <v>312.30900000000003</v>
      </c>
      <c r="S25" s="4">
        <f t="shared" si="50"/>
        <v>321.96600000000001</v>
      </c>
      <c r="T25" s="4">
        <f t="shared" si="50"/>
        <v>364.87100000000004</v>
      </c>
      <c r="U25" s="4">
        <f t="shared" si="50"/>
        <v>336.43499999999995</v>
      </c>
      <c r="V25" s="4">
        <f t="shared" si="50"/>
        <v>393.26900000000001</v>
      </c>
      <c r="W25" s="4">
        <f t="shared" si="50"/>
        <v>394.51400000000001</v>
      </c>
      <c r="X25" s="4">
        <f t="shared" ref="X25:Z25" si="51">+X22+X23+X24</f>
        <v>457.53880000000004</v>
      </c>
      <c r="Y25" s="4">
        <f t="shared" si="51"/>
        <v>419.15494000000001</v>
      </c>
      <c r="Z25" s="4">
        <f t="shared" si="51"/>
        <v>490.43228000000005</v>
      </c>
      <c r="AC25" s="3">
        <f>SUM(AC22:AC24)</f>
        <v>1913.8049999999998</v>
      </c>
      <c r="AD25" s="3">
        <f t="shared" ref="AD25" si="52">SUM(AD22:AD24)</f>
        <v>1613.5309999999999</v>
      </c>
      <c r="AE25" s="3">
        <f t="shared" ref="AE25" si="53">SUM(AE22:AE24)</f>
        <v>1774.8841000000002</v>
      </c>
      <c r="AF25" s="3">
        <f t="shared" ref="AF25" si="54">SUM(AF22:AF24)</f>
        <v>1952.3725100000004</v>
      </c>
      <c r="AG25" s="3">
        <f t="shared" ref="AG25" si="55">SUM(AG22:AG24)</f>
        <v>1416.5409999999997</v>
      </c>
      <c r="AH25" s="3">
        <f t="shared" ref="AH25" si="56">SUM(AH22:AH24)</f>
        <v>1558.1950999999999</v>
      </c>
      <c r="AI25" s="3">
        <f t="shared" ref="AI25" si="57">SUM(AI22:AI24)</f>
        <v>1714.0146100000002</v>
      </c>
      <c r="AJ25" s="3">
        <f t="shared" ref="AJ25" si="58">SUM(AJ22:AJ24)</f>
        <v>1885.4160710000006</v>
      </c>
      <c r="AK25" s="3">
        <f t="shared" ref="AK25:AM25" si="59">SUM(AK22:AK24)</f>
        <v>2073.9576781000005</v>
      </c>
      <c r="AL25" s="3">
        <f t="shared" si="59"/>
        <v>2281.353445910001</v>
      </c>
      <c r="AM25" s="3">
        <f t="shared" si="59"/>
        <v>2509.4887905010009</v>
      </c>
    </row>
    <row r="26" spans="2:39" s="3" customFormat="1" x14ac:dyDescent="0.25">
      <c r="B26" s="3" t="s">
        <v>26</v>
      </c>
      <c r="C26" s="4"/>
      <c r="D26" s="4">
        <f t="shared" ref="D26:L26" si="60">D21-D25</f>
        <v>-99.14500000000001</v>
      </c>
      <c r="E26" s="4">
        <f t="shared" si="60"/>
        <v>-847.77700000000004</v>
      </c>
      <c r="F26" s="4">
        <f t="shared" si="60"/>
        <v>-156.57199999999995</v>
      </c>
      <c r="G26" s="4">
        <f t="shared" si="60"/>
        <v>-114.01400000000001</v>
      </c>
      <c r="H26" s="4">
        <f t="shared" si="60"/>
        <v>-146.14800000000002</v>
      </c>
      <c r="I26" s="4">
        <f t="shared" si="60"/>
        <v>-91.941000000000031</v>
      </c>
      <c r="J26" s="4">
        <f t="shared" si="60"/>
        <v>-58.942999999999984</v>
      </c>
      <c r="K26" s="4">
        <f t="shared" si="60"/>
        <v>-39.439000000000021</v>
      </c>
      <c r="L26" s="4">
        <f t="shared" si="60"/>
        <v>-41.745000000000005</v>
      </c>
      <c r="M26" s="4">
        <f t="shared" ref="M26:N26" si="61">M21-M25</f>
        <v>-33.226999999999975</v>
      </c>
      <c r="N26" s="4">
        <f t="shared" si="61"/>
        <v>-17.826000000000022</v>
      </c>
      <c r="O26" s="4">
        <f t="shared" ref="O26:W26" si="62">+O21-O25</f>
        <v>118.82900000000006</v>
      </c>
      <c r="P26" s="4">
        <f t="shared" si="62"/>
        <v>124.27499999999998</v>
      </c>
      <c r="Q26" s="4">
        <f t="shared" si="62"/>
        <v>154.363</v>
      </c>
      <c r="R26" s="4">
        <f t="shared" si="62"/>
        <v>198.05199999999996</v>
      </c>
      <c r="S26" s="4">
        <f t="shared" si="62"/>
        <v>206.53199999999993</v>
      </c>
      <c r="T26" s="4">
        <f t="shared" si="62"/>
        <v>197.10300000000001</v>
      </c>
      <c r="U26" s="4">
        <f t="shared" si="62"/>
        <v>255.56500000000005</v>
      </c>
      <c r="V26" s="4">
        <f t="shared" si="62"/>
        <v>292.84100000000001</v>
      </c>
      <c r="W26" s="4">
        <f t="shared" si="62"/>
        <v>330.53200000000004</v>
      </c>
      <c r="X26" s="4">
        <f t="shared" ref="X26:Z26" si="63">+X21-X25</f>
        <v>375.7811999999999</v>
      </c>
      <c r="Y26" s="4">
        <f t="shared" si="63"/>
        <v>484.11247999999989</v>
      </c>
      <c r="Z26" s="4">
        <f t="shared" si="63"/>
        <v>539.82887499999993</v>
      </c>
      <c r="AC26" s="3">
        <f>AC21-AC25</f>
        <v>-1173.6789999999999</v>
      </c>
      <c r="AD26" s="3">
        <f t="shared" ref="AD26" si="64">AD21-AD25</f>
        <v>-411.04600000000005</v>
      </c>
      <c r="AE26" s="3">
        <f t="shared" ref="AE26" si="65">AE21-AE25</f>
        <v>-250.18730000000028</v>
      </c>
      <c r="AF26" s="3">
        <f t="shared" ref="AF26" si="66">AF21-AF25</f>
        <v>-172.64291000000003</v>
      </c>
      <c r="AG26" s="3">
        <f t="shared" ref="AG26" si="67">AG21-AG25</f>
        <v>952.04099999999971</v>
      </c>
      <c r="AH26" s="3">
        <f t="shared" ref="AH26" si="68">AH21-AH25</f>
        <v>1815.0469000000003</v>
      </c>
      <c r="AI26" s="3">
        <f t="shared" ref="AI26" si="69">AI21-AI25</f>
        <v>3683.1725900000001</v>
      </c>
      <c r="AJ26" s="3">
        <f t="shared" ref="AJ26" si="70">AJ21-AJ25</f>
        <v>6210.3647289999999</v>
      </c>
      <c r="AK26" s="3">
        <f t="shared" ref="AK26:AM26" si="71">AK21-AK25</f>
        <v>9260.1354419000018</v>
      </c>
      <c r="AL26" s="3">
        <f t="shared" si="71"/>
        <v>13586.376922090001</v>
      </c>
      <c r="AM26" s="3">
        <f t="shared" si="71"/>
        <v>19705.333724699001</v>
      </c>
    </row>
    <row r="27" spans="2:39" s="3" customFormat="1" x14ac:dyDescent="0.25">
      <c r="B27" s="3" t="s">
        <v>27</v>
      </c>
      <c r="C27" s="4"/>
      <c r="D27" s="4">
        <f>0.551-5.646</f>
        <v>-5.0949999999999998</v>
      </c>
      <c r="E27" s="4">
        <f>0.494-2.085</f>
        <v>-1.591</v>
      </c>
      <c r="F27" s="4">
        <f>0.368-1.814</f>
        <v>-1.4460000000000002</v>
      </c>
      <c r="G27" s="4">
        <f>0.376-1.84</f>
        <v>-1.464</v>
      </c>
      <c r="H27" s="4">
        <f>0.372-0.59</f>
        <v>-0.21799999999999997</v>
      </c>
      <c r="I27" s="4">
        <f>0.379-0.609</f>
        <v>-0.22999999999999998</v>
      </c>
      <c r="J27" s="4">
        <f>0.48-0.601</f>
        <v>-0.121</v>
      </c>
      <c r="K27" s="4">
        <f>0.547-0.594</f>
        <v>-4.6999999999999931E-2</v>
      </c>
      <c r="L27" s="4">
        <f>1.472-0.67</f>
        <v>0.80199999999999994</v>
      </c>
      <c r="M27" s="4">
        <v>0</v>
      </c>
      <c r="N27" s="4">
        <f>12.75-1.712+44.637</f>
        <v>55.674999999999997</v>
      </c>
      <c r="O27" s="4">
        <f>20.853-4.136</f>
        <v>16.717000000000002</v>
      </c>
      <c r="P27" s="4">
        <f>30.31-1.317-9.024</f>
        <v>19.969000000000001</v>
      </c>
      <c r="Q27" s="4">
        <f>36.864-0.742+3.864</f>
        <v>39.985999999999997</v>
      </c>
      <c r="R27" s="4">
        <f>44.545-0.136-3.956</f>
        <v>40.452999999999996</v>
      </c>
      <c r="S27" s="4">
        <f>43.352-13.507</f>
        <v>29.844999999999999</v>
      </c>
      <c r="T27" s="3">
        <f>46.593-11.173</f>
        <v>35.42</v>
      </c>
      <c r="U27" s="3">
        <f>52.12-8.11</f>
        <v>44.01</v>
      </c>
      <c r="V27" s="3">
        <v>54.726999999999997</v>
      </c>
      <c r="W27" s="3">
        <v>50.441000000000003</v>
      </c>
      <c r="X27" s="3">
        <f>+W27</f>
        <v>50.441000000000003</v>
      </c>
      <c r="Y27" s="3">
        <f>+X27</f>
        <v>50.441000000000003</v>
      </c>
      <c r="Z27" s="3">
        <f>+Y27</f>
        <v>50.441000000000003</v>
      </c>
      <c r="AC27" s="3">
        <f>4.68-14.139</f>
        <v>-9.4589999999999996</v>
      </c>
      <c r="AD27" s="3">
        <f>1.607-3.64</f>
        <v>-2.0330000000000004</v>
      </c>
      <c r="AE27" s="3">
        <v>0</v>
      </c>
      <c r="AF27" s="3">
        <v>0</v>
      </c>
      <c r="AG27" s="3">
        <f t="shared" ref="AG27" si="72">SUM(S27:V27)</f>
        <v>164.00200000000001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</row>
    <row r="28" spans="2:39" s="3" customFormat="1" x14ac:dyDescent="0.25">
      <c r="B28" s="3" t="s">
        <v>28</v>
      </c>
      <c r="C28" s="4"/>
      <c r="D28" s="4">
        <f t="shared" ref="D28:L28" si="73">D26-D27</f>
        <v>-94.050000000000011</v>
      </c>
      <c r="E28" s="4">
        <f t="shared" si="73"/>
        <v>-846.18600000000004</v>
      </c>
      <c r="F28" s="4">
        <f t="shared" si="73"/>
        <v>-155.12599999999995</v>
      </c>
      <c r="G28" s="4">
        <f t="shared" si="73"/>
        <v>-112.55000000000001</v>
      </c>
      <c r="H28" s="4">
        <f t="shared" si="73"/>
        <v>-145.93000000000004</v>
      </c>
      <c r="I28" s="4">
        <f t="shared" si="73"/>
        <v>-91.711000000000027</v>
      </c>
      <c r="J28" s="4">
        <f t="shared" si="73"/>
        <v>-58.821999999999981</v>
      </c>
      <c r="K28" s="4">
        <f t="shared" si="73"/>
        <v>-39.392000000000024</v>
      </c>
      <c r="L28" s="4">
        <f t="shared" si="73"/>
        <v>-42.547000000000004</v>
      </c>
      <c r="M28" s="4">
        <f t="shared" ref="M28" si="74">M26-M27</f>
        <v>-33.226999999999975</v>
      </c>
      <c r="N28" s="4">
        <f t="shared" ref="N28:Z28" si="75">+N26+N27</f>
        <v>37.848999999999975</v>
      </c>
      <c r="O28" s="4">
        <f t="shared" si="75"/>
        <v>135.54600000000008</v>
      </c>
      <c r="P28" s="4">
        <f t="shared" si="75"/>
        <v>144.24399999999997</v>
      </c>
      <c r="Q28" s="4">
        <f t="shared" si="75"/>
        <v>194.34899999999999</v>
      </c>
      <c r="R28" s="4">
        <f t="shared" si="75"/>
        <v>238.50499999999997</v>
      </c>
      <c r="S28" s="4">
        <f t="shared" si="75"/>
        <v>236.37699999999992</v>
      </c>
      <c r="T28" s="4">
        <f t="shared" ref="T28" si="76">+T26+T27</f>
        <v>232.52300000000002</v>
      </c>
      <c r="U28" s="4">
        <f t="shared" si="75"/>
        <v>299.57500000000005</v>
      </c>
      <c r="V28" s="4">
        <f t="shared" si="75"/>
        <v>347.56799999999998</v>
      </c>
      <c r="W28" s="4">
        <f t="shared" si="75"/>
        <v>380.97300000000007</v>
      </c>
      <c r="X28" s="4">
        <f t="shared" si="75"/>
        <v>426.22219999999993</v>
      </c>
      <c r="Y28" s="4">
        <f t="shared" si="75"/>
        <v>534.55347999999992</v>
      </c>
      <c r="Z28" s="4">
        <f t="shared" si="75"/>
        <v>590.26987499999996</v>
      </c>
      <c r="AC28" s="3">
        <f t="shared" ref="AC28:AH28" si="77">AC26+AC27</f>
        <v>-1183.1379999999999</v>
      </c>
      <c r="AD28" s="3">
        <f t="shared" si="77"/>
        <v>-413.07900000000006</v>
      </c>
      <c r="AE28" s="3">
        <f t="shared" si="77"/>
        <v>-250.18730000000028</v>
      </c>
      <c r="AF28" s="3">
        <f t="shared" si="77"/>
        <v>-172.64291000000003</v>
      </c>
      <c r="AG28" s="3">
        <f t="shared" si="77"/>
        <v>1116.0429999999997</v>
      </c>
      <c r="AH28" s="3">
        <f t="shared" si="77"/>
        <v>1815.0469000000003</v>
      </c>
      <c r="AI28" s="3">
        <f t="shared" ref="AI28" si="78">AI26+AI27</f>
        <v>3683.1725900000001</v>
      </c>
      <c r="AJ28" s="3">
        <f t="shared" ref="AJ28" si="79">AJ26+AJ27</f>
        <v>6210.3647289999999</v>
      </c>
      <c r="AK28" s="3">
        <f t="shared" ref="AK28:AM28" si="80">AK26+AK27</f>
        <v>9260.1354419000018</v>
      </c>
      <c r="AL28" s="3">
        <f t="shared" si="80"/>
        <v>13586.376922090001</v>
      </c>
      <c r="AM28" s="3">
        <f t="shared" si="80"/>
        <v>19705.333724699001</v>
      </c>
    </row>
    <row r="29" spans="2:39" s="3" customFormat="1" x14ac:dyDescent="0.25">
      <c r="B29" s="3" t="s">
        <v>30</v>
      </c>
      <c r="C29" s="4"/>
      <c r="D29" s="4">
        <f>0.943</f>
        <v>0.94299999999999995</v>
      </c>
      <c r="E29" s="4">
        <v>-8.5429999999999993</v>
      </c>
      <c r="F29" s="4">
        <v>-7.593</v>
      </c>
      <c r="G29" s="4">
        <v>3.1019999999999999</v>
      </c>
      <c r="H29" s="4">
        <v>-5.6609999999999996</v>
      </c>
      <c r="I29" s="4">
        <v>1.4379999999999999</v>
      </c>
      <c r="J29" s="4">
        <v>33.006</v>
      </c>
      <c r="K29" s="4">
        <v>2.0230000000000001</v>
      </c>
      <c r="L29" s="4">
        <v>2.5880000000000001</v>
      </c>
      <c r="M29" s="4">
        <v>0</v>
      </c>
      <c r="N29" s="4">
        <f>4.36+2.611</f>
        <v>6.9710000000000001</v>
      </c>
      <c r="O29" s="4">
        <f>1.681+2.349</f>
        <v>4.03</v>
      </c>
      <c r="P29" s="4">
        <f>2.171-0.255</f>
        <v>1.9159999999999999</v>
      </c>
      <c r="Q29" s="4">
        <f>6.53+1.934</f>
        <v>8.4640000000000004</v>
      </c>
      <c r="R29" s="4">
        <f>9.334+3.522</f>
        <v>12.856</v>
      </c>
      <c r="S29" s="4">
        <f>4.655+0.541</f>
        <v>5.1960000000000006</v>
      </c>
      <c r="T29" s="3">
        <f>5.189+1.444</f>
        <v>6.633</v>
      </c>
      <c r="U29" s="3">
        <f>7.809+5.816</f>
        <v>13.625</v>
      </c>
      <c r="V29" s="3">
        <v>3.6019999999999999</v>
      </c>
      <c r="W29" s="3">
        <v>5.5990000000000002</v>
      </c>
      <c r="X29" s="3">
        <f>+X28*0.05</f>
        <v>21.311109999999999</v>
      </c>
      <c r="Y29" s="3">
        <f>+Y28*0.05</f>
        <v>26.727673999999997</v>
      </c>
      <c r="Z29" s="3">
        <f>+Z28*0.05</f>
        <v>29.513493749999999</v>
      </c>
      <c r="AC29" s="3">
        <v>-12.635999999999999</v>
      </c>
      <c r="AD29" s="3">
        <v>31.885000000000002</v>
      </c>
      <c r="AE29" s="3">
        <v>0</v>
      </c>
      <c r="AF29" s="3">
        <v>0</v>
      </c>
      <c r="AG29" s="3">
        <f t="shared" ref="AG29" si="81">SUM(S29:V29)</f>
        <v>29.056000000000001</v>
      </c>
      <c r="AH29" s="3">
        <f>AH28*0.1</f>
        <v>181.50469000000004</v>
      </c>
      <c r="AI29" s="3">
        <f t="shared" ref="AI29" si="82">AI28*0.1</f>
        <v>368.31725900000004</v>
      </c>
      <c r="AJ29" s="3">
        <f t="shared" ref="AJ29" si="83">AJ28*0.1</f>
        <v>621.03647290000004</v>
      </c>
      <c r="AK29" s="3">
        <f t="shared" ref="AK29:AM29" si="84">AK28*0.1</f>
        <v>926.01354419000018</v>
      </c>
      <c r="AL29" s="3">
        <f t="shared" si="84"/>
        <v>1358.6376922090003</v>
      </c>
      <c r="AM29" s="3">
        <f t="shared" si="84"/>
        <v>1970.5333724699003</v>
      </c>
    </row>
    <row r="30" spans="2:39" s="3" customFormat="1" x14ac:dyDescent="0.25">
      <c r="B30" s="3" t="s">
        <v>31</v>
      </c>
      <c r="C30" s="4"/>
      <c r="D30" s="4">
        <f t="shared" ref="D30:L30" si="85">D28-D29</f>
        <v>-94.993000000000009</v>
      </c>
      <c r="E30" s="4">
        <f t="shared" si="85"/>
        <v>-837.64300000000003</v>
      </c>
      <c r="F30" s="4">
        <f t="shared" si="85"/>
        <v>-147.53299999999996</v>
      </c>
      <c r="G30" s="4">
        <f t="shared" si="85"/>
        <v>-115.65200000000002</v>
      </c>
      <c r="H30" s="4">
        <f t="shared" si="85"/>
        <v>-140.26900000000003</v>
      </c>
      <c r="I30" s="4">
        <f t="shared" si="85"/>
        <v>-93.149000000000029</v>
      </c>
      <c r="J30" s="4">
        <f t="shared" si="85"/>
        <v>-91.827999999999975</v>
      </c>
      <c r="K30" s="4">
        <f t="shared" si="85"/>
        <v>-41.415000000000028</v>
      </c>
      <c r="L30" s="4">
        <f t="shared" si="85"/>
        <v>-45.135000000000005</v>
      </c>
      <c r="M30" s="4">
        <f t="shared" ref="M30:N30" si="86">M28-M29</f>
        <v>-33.226999999999975</v>
      </c>
      <c r="N30" s="4">
        <f t="shared" si="86"/>
        <v>30.877999999999975</v>
      </c>
      <c r="O30" s="4">
        <f>+O28-O29</f>
        <v>131.51600000000008</v>
      </c>
      <c r="P30" s="4">
        <f>+P28-P29</f>
        <v>142.32799999999997</v>
      </c>
      <c r="Q30" s="4">
        <f>+Q28-Q29</f>
        <v>185.88499999999999</v>
      </c>
      <c r="R30" s="4">
        <f>+R28-R29</f>
        <v>225.64899999999997</v>
      </c>
      <c r="S30" s="4">
        <f>+S28-S29</f>
        <v>231.18099999999993</v>
      </c>
      <c r="T30" s="4">
        <f t="shared" ref="T30:W30" si="87">+T28-T29</f>
        <v>225.89000000000001</v>
      </c>
      <c r="U30" s="4">
        <f t="shared" si="87"/>
        <v>285.95000000000005</v>
      </c>
      <c r="V30" s="4">
        <f t="shared" si="87"/>
        <v>343.96600000000001</v>
      </c>
      <c r="W30" s="4">
        <f t="shared" si="87"/>
        <v>375.37400000000008</v>
      </c>
      <c r="X30" s="3">
        <f>+X28-X29</f>
        <v>404.91108999999994</v>
      </c>
      <c r="Y30" s="3">
        <f>+Y28-Y29</f>
        <v>507.82580599999994</v>
      </c>
      <c r="Z30" s="3">
        <f>+Z28-Z29</f>
        <v>560.75638125</v>
      </c>
      <c r="AC30" s="3">
        <f>AC28-AC29</f>
        <v>-1170.502</v>
      </c>
      <c r="AD30" s="3">
        <f>AD28-AD29</f>
        <v>-444.96400000000006</v>
      </c>
      <c r="AE30" s="3">
        <f t="shared" ref="AE30:AH30" si="88">AE28-AE29</f>
        <v>-250.18730000000028</v>
      </c>
      <c r="AF30" s="3">
        <f t="shared" si="88"/>
        <v>-172.64291000000003</v>
      </c>
      <c r="AG30" s="3">
        <f t="shared" si="88"/>
        <v>1086.9869999999996</v>
      </c>
      <c r="AH30" s="3">
        <f t="shared" si="88"/>
        <v>1633.5422100000003</v>
      </c>
      <c r="AI30" s="3">
        <f t="shared" ref="AI30" si="89">AI28-AI29</f>
        <v>3314.8553310000002</v>
      </c>
      <c r="AJ30" s="3">
        <f t="shared" ref="AJ30" si="90">AJ28-AJ29</f>
        <v>5589.3282560999996</v>
      </c>
      <c r="AK30" s="3">
        <f t="shared" ref="AK30:AM30" si="91">AK28-AK29</f>
        <v>8334.1218977100016</v>
      </c>
      <c r="AL30" s="3">
        <f t="shared" si="91"/>
        <v>12227.739229881001</v>
      </c>
      <c r="AM30" s="3">
        <f t="shared" si="91"/>
        <v>17734.8003522291</v>
      </c>
    </row>
    <row r="31" spans="2:39" x14ac:dyDescent="0.25">
      <c r="B31" s="3" t="s">
        <v>1</v>
      </c>
      <c r="D31" s="7">
        <f t="shared" ref="D31:L31" si="92">D30/D32</f>
        <v>-0.14827157237200492</v>
      </c>
      <c r="E31" s="7">
        <f t="shared" si="92"/>
        <v>-0.92510011463761044</v>
      </c>
      <c r="F31" s="7">
        <f t="shared" si="92"/>
        <v>-8.3658536308756248E-2</v>
      </c>
      <c r="G31" s="7">
        <f t="shared" si="92"/>
        <v>-6.3504649239659608E-2</v>
      </c>
      <c r="H31" s="7">
        <f t="shared" si="92"/>
        <v>-7.4035973706406522E-2</v>
      </c>
      <c r="I31" s="7">
        <f t="shared" si="92"/>
        <v>-4.7418670888492401E-2</v>
      </c>
      <c r="J31" s="7">
        <f t="shared" si="92"/>
        <v>-4.5645513091992884E-2</v>
      </c>
      <c r="K31" s="7">
        <f t="shared" si="92"/>
        <v>-2.0338288872945007E-2</v>
      </c>
      <c r="L31" s="7">
        <f t="shared" si="92"/>
        <v>-2.1965652114878394E-2</v>
      </c>
      <c r="M31" s="7">
        <f t="shared" ref="M31:N31" si="93">M30/M32</f>
        <v>-1.6170438081778302E-2</v>
      </c>
      <c r="N31" s="7">
        <f t="shared" si="93"/>
        <v>1.4011679273305783E-2</v>
      </c>
      <c r="O31" s="7">
        <f>+O30/O32</f>
        <v>5.9309861511410274E-2</v>
      </c>
      <c r="P31" s="7">
        <f>+P30/P32</f>
        <v>6.2475116925757891E-2</v>
      </c>
      <c r="Q31" s="7">
        <f>+Q30/Q32</f>
        <v>7.9929910560715509E-2</v>
      </c>
      <c r="R31" s="7">
        <f>+R30/R32</f>
        <v>9.5705552176616415E-2</v>
      </c>
      <c r="S31" s="7">
        <f>+S30/S32</f>
        <v>9.6321122349961874E-2</v>
      </c>
      <c r="T31" s="7">
        <f t="shared" ref="T31:Z31" si="94">+T30/T32</f>
        <v>9.3548007699519944E-2</v>
      </c>
      <c r="U31" s="7">
        <f t="shared" si="94"/>
        <v>0.11625926120176991</v>
      </c>
      <c r="V31" s="7">
        <f t="shared" si="94"/>
        <v>0.13604748526566887</v>
      </c>
      <c r="W31" s="7">
        <f>+W30/W32</f>
        <v>0.14704299327253256</v>
      </c>
      <c r="X31" s="7">
        <f t="shared" si="94"/>
        <v>0.15861337941051806</v>
      </c>
      <c r="Y31" s="7">
        <f t="shared" si="94"/>
        <v>0.19892754046704461</v>
      </c>
      <c r="Z31" s="7">
        <f t="shared" si="94"/>
        <v>0.21966171550419966</v>
      </c>
      <c r="AC31" s="1">
        <f>AC30/AC32</f>
        <v>-1.1952069271849119</v>
      </c>
      <c r="AD31" s="1">
        <f>AD30/AD32</f>
        <v>-0.23131631712549852</v>
      </c>
      <c r="AE31" s="1">
        <f t="shared" ref="AE31:AH31" si="95">AE30/AE32</f>
        <v>-0.11985539971912569</v>
      </c>
      <c r="AF31" s="1">
        <f t="shared" si="95"/>
        <v>-7.5234388822408196E-2</v>
      </c>
      <c r="AG31" s="1">
        <f t="shared" si="95"/>
        <v>0.44354727400317712</v>
      </c>
      <c r="AH31" s="1">
        <f t="shared" si="95"/>
        <v>0.6665702480477006</v>
      </c>
      <c r="AI31" s="1">
        <f t="shared" ref="AI31" si="96">AI30/AI32</f>
        <v>1.3526335142738137</v>
      </c>
      <c r="AJ31" s="1">
        <f t="shared" ref="AJ31" si="97">AJ30/AJ32</f>
        <v>2.280736854720514</v>
      </c>
      <c r="AK31" s="1">
        <f t="shared" ref="AK31:AM31" si="98">AK30/AK32</f>
        <v>3.4007555278393005</v>
      </c>
      <c r="AL31" s="1">
        <f t="shared" si="98"/>
        <v>4.9895540633286579</v>
      </c>
      <c r="AM31" s="1">
        <f t="shared" si="98"/>
        <v>7.2367216454491228</v>
      </c>
    </row>
    <row r="32" spans="2:39" s="3" customFormat="1" x14ac:dyDescent="0.25">
      <c r="B32" s="3" t="s">
        <v>29</v>
      </c>
      <c r="C32" s="4"/>
      <c r="D32" s="4">
        <v>640.66899999999998</v>
      </c>
      <c r="E32" s="4">
        <v>905.46199999999999</v>
      </c>
      <c r="F32" s="4">
        <v>1763.5139999999999</v>
      </c>
      <c r="G32" s="4">
        <v>1821.1579999999999</v>
      </c>
      <c r="H32" s="4">
        <v>1894.606</v>
      </c>
      <c r="I32" s="4">
        <v>1964.395</v>
      </c>
      <c r="J32" s="4">
        <v>2011.7639999999999</v>
      </c>
      <c r="K32" s="4">
        <v>2036.307</v>
      </c>
      <c r="L32" s="4">
        <v>2054.799</v>
      </c>
      <c r="M32" s="4">
        <f t="shared" ref="M32" si="99">L32</f>
        <v>2054.799</v>
      </c>
      <c r="N32" s="4">
        <v>2203.7330000000002</v>
      </c>
      <c r="O32" s="4">
        <v>2217.4389999999999</v>
      </c>
      <c r="P32" s="4">
        <v>2278.1550000000002</v>
      </c>
      <c r="Q32" s="4">
        <v>2325.6</v>
      </c>
      <c r="R32" s="4">
        <v>2357.7420000000002</v>
      </c>
      <c r="S32" s="4">
        <v>2400.107</v>
      </c>
      <c r="T32" s="3">
        <v>2414.6959999999999</v>
      </c>
      <c r="U32" s="3">
        <v>2459.5889999999999</v>
      </c>
      <c r="V32" s="3">
        <v>2528.279</v>
      </c>
      <c r="W32" s="3">
        <v>2552.8180000000002</v>
      </c>
      <c r="X32" s="3">
        <f>+W32</f>
        <v>2552.8180000000002</v>
      </c>
      <c r="Y32" s="3">
        <f>+X32</f>
        <v>2552.8180000000002</v>
      </c>
      <c r="Z32" s="3">
        <f>+Y32</f>
        <v>2552.8180000000002</v>
      </c>
      <c r="AC32" s="3">
        <v>979.33</v>
      </c>
      <c r="AD32" s="3">
        <v>1923.617</v>
      </c>
      <c r="AE32" s="3">
        <f>AVERAGE(K32:N32)</f>
        <v>2087.4094999999998</v>
      </c>
      <c r="AF32" s="3">
        <f>AVERAGE(O32:R32)</f>
        <v>2294.7339999999999</v>
      </c>
      <c r="AG32" s="3">
        <f>AVERAGE(S32:V32)</f>
        <v>2450.6677500000001</v>
      </c>
      <c r="AH32" s="3">
        <f>AG32</f>
        <v>2450.6677500000001</v>
      </c>
      <c r="AI32" s="3">
        <f t="shared" ref="AI32" si="100">AH32</f>
        <v>2450.6677500000001</v>
      </c>
      <c r="AJ32" s="3">
        <f t="shared" ref="AJ32:AK32" si="101">AI32</f>
        <v>2450.6677500000001</v>
      </c>
      <c r="AK32" s="3">
        <f t="shared" si="101"/>
        <v>2450.6677500000001</v>
      </c>
      <c r="AL32" s="3">
        <f t="shared" ref="AL32" si="102">AK32</f>
        <v>2450.6677500000001</v>
      </c>
      <c r="AM32" s="3">
        <f t="shared" ref="AM32" si="103">AL32</f>
        <v>2450.6677500000001</v>
      </c>
    </row>
    <row r="35" spans="2:39" s="11" customFormat="1" ht="13" x14ac:dyDescent="0.3">
      <c r="B35" s="5" t="s">
        <v>32</v>
      </c>
      <c r="C35" s="9"/>
      <c r="D35" s="9"/>
      <c r="E35" s="9"/>
      <c r="F35" s="9"/>
      <c r="G35" s="9"/>
      <c r="H35" s="10">
        <f>H19/D19-1</f>
        <v>0.49129973917082514</v>
      </c>
      <c r="I35" s="10">
        <f>I19/E19-1</f>
        <v>0.35519031261447442</v>
      </c>
      <c r="J35" s="10">
        <f>J19/F19-1</f>
        <v>0.34392764777656004</v>
      </c>
      <c r="K35" s="10">
        <f>K19/G19-1</f>
        <v>0.30806719142875583</v>
      </c>
      <c r="L35" s="10">
        <f>L19/H19-1</f>
        <v>0.25920424233711881</v>
      </c>
      <c r="M35" s="10">
        <f t="shared" ref="M35:O35" si="104">M19/I19-1</f>
        <v>0.21862775598884077</v>
      </c>
      <c r="N35" s="10">
        <f t="shared" si="104"/>
        <v>0.17501218619113956</v>
      </c>
      <c r="O35" s="10">
        <f t="shared" si="104"/>
        <v>0.1766052733574246</v>
      </c>
      <c r="P35" s="10">
        <f t="shared" ref="P35:T35" si="105">P19/L19-1</f>
        <v>0.12749624743662924</v>
      </c>
      <c r="Q35" s="10">
        <f t="shared" si="105"/>
        <v>0.16798987193437687</v>
      </c>
      <c r="R35" s="10">
        <f t="shared" si="105"/>
        <v>0.19538205039479051</v>
      </c>
      <c r="S35" s="10">
        <f t="shared" si="105"/>
        <v>0.20783493847893864</v>
      </c>
      <c r="T35" s="10">
        <f t="shared" si="105"/>
        <v>0.2715401909183468</v>
      </c>
      <c r="U35" s="10">
        <f t="shared" ref="U35" si="106">U19/Q19-1</f>
        <v>0.2998375015004684</v>
      </c>
      <c r="V35" s="10">
        <f t="shared" ref="V35:Z35" si="107">V19/R19-1</f>
        <v>0.36105098684210524</v>
      </c>
      <c r="W35" s="10">
        <f t="shared" si="107"/>
        <v>0.39200237097572588</v>
      </c>
      <c r="X35" s="10">
        <f t="shared" si="107"/>
        <v>0.48053334591688368</v>
      </c>
      <c r="Y35" s="10">
        <f t="shared" si="107"/>
        <v>0.5</v>
      </c>
      <c r="Z35" s="10">
        <f t="shared" si="107"/>
        <v>0.49999999999999978</v>
      </c>
      <c r="AD35" s="12">
        <f>AD19/AC19-1</f>
        <v>0.41111659206368234</v>
      </c>
      <c r="AE35" s="12">
        <f>AE19/AD19-1</f>
        <v>0.23606238840798532</v>
      </c>
      <c r="AF35" s="12">
        <f>AF19/AE19-1</f>
        <v>0.16726787909569985</v>
      </c>
      <c r="AG35" s="12">
        <f>AG19/AF19-1</f>
        <v>0.28806398455136084</v>
      </c>
      <c r="AH35" s="12">
        <f>AH19/AG19-1</f>
        <v>0.47148567426287924</v>
      </c>
      <c r="AI35" s="12">
        <f t="shared" ref="AI35" si="108">AI19/AH19-1</f>
        <v>0.60000000000000009</v>
      </c>
      <c r="AJ35" s="12">
        <f t="shared" ref="AJ35:AK35" si="109">AJ19/AI19-1</f>
        <v>0.5</v>
      </c>
      <c r="AK35" s="12">
        <f t="shared" si="109"/>
        <v>0.39999999999999991</v>
      </c>
      <c r="AL35" s="12">
        <f t="shared" ref="AL35" si="110">AL19/AK19-1</f>
        <v>0.40000000000000013</v>
      </c>
      <c r="AM35" s="12">
        <f t="shared" ref="AM35" si="111">AM19/AL19-1</f>
        <v>0.39999999999999991</v>
      </c>
    </row>
    <row r="36" spans="2:39" x14ac:dyDescent="0.25">
      <c r="B36" t="s">
        <v>33</v>
      </c>
      <c r="D36" s="8">
        <f t="shared" ref="D36:K36" si="112">D21/D19</f>
        <v>0.72841211803611916</v>
      </c>
      <c r="E36" s="8">
        <f t="shared" si="112"/>
        <v>0.48390619492269304</v>
      </c>
      <c r="F36" s="8">
        <f t="shared" si="112"/>
        <v>0.78110844450791861</v>
      </c>
      <c r="G36" s="8">
        <f t="shared" si="112"/>
        <v>0.78281472537906538</v>
      </c>
      <c r="H36" s="8">
        <f t="shared" si="112"/>
        <v>0.75794506471587308</v>
      </c>
      <c r="I36" s="8">
        <f t="shared" si="112"/>
        <v>0.77864366842961541</v>
      </c>
      <c r="J36" s="8">
        <f t="shared" si="112"/>
        <v>0.79771384744043783</v>
      </c>
      <c r="K36" s="8">
        <f t="shared" si="112"/>
        <v>0.78850337286073702</v>
      </c>
      <c r="L36" s="8">
        <f t="shared" ref="L36:P36" si="113">L21/L19</f>
        <v>0.78388617576795416</v>
      </c>
      <c r="M36" s="8">
        <f t="shared" si="113"/>
        <v>0.8</v>
      </c>
      <c r="N36" s="8">
        <f t="shared" si="113"/>
        <v>0.79491530089024498</v>
      </c>
      <c r="O36" s="8">
        <f t="shared" si="113"/>
        <v>0.8125083303819981</v>
      </c>
      <c r="P36" s="8">
        <f t="shared" si="113"/>
        <v>0.81456619608975533</v>
      </c>
      <c r="Q36" s="8">
        <f t="shared" ref="Q36:R36" si="114">Q21/Q19</f>
        <v>0.82064608830100383</v>
      </c>
      <c r="R36" s="8">
        <f t="shared" si="114"/>
        <v>0.83940953947368424</v>
      </c>
      <c r="S36" s="8">
        <f t="shared" ref="S36:W36" si="115">S21/S19</f>
        <v>0.83314888907806239</v>
      </c>
      <c r="T36" s="8">
        <f t="shared" si="115"/>
        <v>0.82870642085487534</v>
      </c>
      <c r="U36" s="8">
        <f t="shared" si="115"/>
        <v>0.81597097789711048</v>
      </c>
      <c r="V36" s="8">
        <f t="shared" si="115"/>
        <v>0.82911691453610126</v>
      </c>
      <c r="W36" s="8">
        <f t="shared" si="115"/>
        <v>0.82111664779161952</v>
      </c>
      <c r="X36" s="8">
        <f t="shared" ref="X36:Z36" si="116">X21/X19</f>
        <v>0.83</v>
      </c>
      <c r="Y36" s="8">
        <f t="shared" si="116"/>
        <v>0.83</v>
      </c>
      <c r="Z36" s="8">
        <f t="shared" si="116"/>
        <v>0.83</v>
      </c>
      <c r="AC36" s="8">
        <f t="shared" ref="AC36:AH36" si="117">AC21/AC19</f>
        <v>0.67735360899372454</v>
      </c>
      <c r="AD36" s="8">
        <f t="shared" si="117"/>
        <v>0.77987779924495215</v>
      </c>
      <c r="AE36" s="8">
        <f t="shared" si="117"/>
        <v>0.8</v>
      </c>
      <c r="AF36" s="8">
        <f t="shared" si="117"/>
        <v>0.8</v>
      </c>
      <c r="AG36" s="8">
        <f t="shared" si="117"/>
        <v>0.8265839169124346</v>
      </c>
      <c r="AH36" s="8">
        <f t="shared" si="117"/>
        <v>0.8</v>
      </c>
      <c r="AI36" s="8">
        <f t="shared" ref="AI36" si="118">AI21/AI19</f>
        <v>0.8</v>
      </c>
      <c r="AJ36" s="8">
        <f t="shared" ref="AJ36:AK36" si="119">AJ21/AJ19</f>
        <v>0.8</v>
      </c>
      <c r="AK36" s="8">
        <f t="shared" si="119"/>
        <v>0.8</v>
      </c>
      <c r="AL36" s="8">
        <f t="shared" ref="AL36:AM36" si="120">AL21/AL19</f>
        <v>0.8</v>
      </c>
      <c r="AM36" s="8">
        <f t="shared" si="120"/>
        <v>0.8</v>
      </c>
    </row>
    <row r="37" spans="2:39" x14ac:dyDescent="0.25">
      <c r="B37" t="s">
        <v>96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f t="shared" ref="R37:U37" si="121">+R22/N22-1</f>
        <v>-0.19218011596305584</v>
      </c>
      <c r="S37" s="8">
        <f t="shared" si="121"/>
        <v>2.3468737716694443E-2</v>
      </c>
      <c r="T37" s="8">
        <f t="shared" si="121"/>
        <v>1.6866166319710718E-2</v>
      </c>
      <c r="U37" s="8">
        <f t="shared" si="121"/>
        <v>0.15824719330624504</v>
      </c>
      <c r="V37" s="8">
        <f>+V22/R22-1</f>
        <v>0.23860900347488845</v>
      </c>
      <c r="W37" s="8">
        <f>+W22/S22-1</f>
        <v>0.21702279815389924</v>
      </c>
      <c r="X37" s="8">
        <f t="shared" ref="X37:Z39" si="122">+X22/T22-1</f>
        <v>0.24</v>
      </c>
      <c r="Y37" s="8">
        <f t="shared" si="122"/>
        <v>0.24</v>
      </c>
      <c r="Z37" s="8">
        <f t="shared" si="122"/>
        <v>0.24</v>
      </c>
      <c r="AC37" s="8"/>
      <c r="AD37" s="8">
        <f t="shared" ref="AD37:AF37" si="123">+AD22/AC22-1</f>
        <v>-0.10119774579823648</v>
      </c>
      <c r="AE37" s="8">
        <f t="shared" si="123"/>
        <v>0.10000000000000009</v>
      </c>
      <c r="AF37" s="8">
        <f t="shared" si="123"/>
        <v>0.10000000000000009</v>
      </c>
      <c r="AG37" s="8">
        <f>+AG22/AF22-1</f>
        <v>-0.12766364688599541</v>
      </c>
      <c r="AH37" s="8">
        <f t="shared" ref="AH37:AM37" si="124">+AH22/AG22-1</f>
        <v>0.10000000000000009</v>
      </c>
      <c r="AI37" s="8">
        <f t="shared" si="124"/>
        <v>0.10000000000000009</v>
      </c>
      <c r="AJ37" s="8">
        <f t="shared" si="124"/>
        <v>0.10000000000000009</v>
      </c>
      <c r="AK37" s="8">
        <f t="shared" si="124"/>
        <v>0.10000000000000009</v>
      </c>
      <c r="AL37" s="8">
        <f t="shared" si="124"/>
        <v>0.10000000000000009</v>
      </c>
      <c r="AM37" s="8">
        <f t="shared" si="124"/>
        <v>0.10000000000000009</v>
      </c>
    </row>
    <row r="38" spans="2:39" x14ac:dyDescent="0.25">
      <c r="B38" t="s">
        <v>98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f t="shared" ref="R38:R39" si="125">+R23/N23-1</f>
        <v>-7.0169665057773778E-2</v>
      </c>
      <c r="S38" s="8">
        <f t="shared" ref="S38:S39" si="126">+S23/O23-1</f>
        <v>0.18510601915184721</v>
      </c>
      <c r="T38" s="8">
        <f t="shared" ref="T38:T39" si="127">+T23/P23-1</f>
        <v>3.2708505259297027E-2</v>
      </c>
      <c r="U38" s="8">
        <f t="shared" ref="U38:W39" si="128">+U23/Q23-1</f>
        <v>3.6821242657242514E-2</v>
      </c>
      <c r="V38" s="8">
        <f t="shared" si="128"/>
        <v>0.23178261040544257</v>
      </c>
      <c r="W38" s="8">
        <f t="shared" si="128"/>
        <v>0.23914820960488647</v>
      </c>
      <c r="X38" s="8">
        <f t="shared" si="122"/>
        <v>0.19999999999999996</v>
      </c>
      <c r="Y38" s="8">
        <f t="shared" si="122"/>
        <v>0.19999999999999996</v>
      </c>
      <c r="Z38" s="8">
        <f t="shared" si="122"/>
        <v>0.19999999999999996</v>
      </c>
      <c r="AC38" s="8"/>
      <c r="AD38" s="8">
        <f t="shared" ref="AD38:AF38" si="129">+AD23/AC23-1</f>
        <v>-0.30887347055256298</v>
      </c>
      <c r="AE38" s="8">
        <f t="shared" si="129"/>
        <v>0.10000000000000009</v>
      </c>
      <c r="AF38" s="8">
        <f t="shared" si="129"/>
        <v>0.10000000000000009</v>
      </c>
      <c r="AG38" s="8">
        <f>+AG23/AF23-1</f>
        <v>-0.26883604114300652</v>
      </c>
      <c r="AH38" s="8">
        <f t="shared" ref="AH38:AM38" si="130">+AH23/AG23-1</f>
        <v>0.10000000000000009</v>
      </c>
      <c r="AI38" s="8">
        <f t="shared" si="130"/>
        <v>0.10000000000000009</v>
      </c>
      <c r="AJ38" s="8">
        <f t="shared" si="130"/>
        <v>0.10000000000000009</v>
      </c>
      <c r="AK38" s="8">
        <f t="shared" si="130"/>
        <v>0.10000000000000009</v>
      </c>
      <c r="AL38" s="8">
        <f t="shared" si="130"/>
        <v>0.10000000000000009</v>
      </c>
      <c r="AM38" s="8">
        <f t="shared" si="130"/>
        <v>0.10000000000000009</v>
      </c>
    </row>
    <row r="39" spans="2:39" x14ac:dyDescent="0.25">
      <c r="B39" t="s">
        <v>97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f t="shared" si="125"/>
        <v>-0.45050780050980233</v>
      </c>
      <c r="S39" s="8">
        <f t="shared" si="126"/>
        <v>-2.6354611502412362E-2</v>
      </c>
      <c r="T39" s="8">
        <f t="shared" si="127"/>
        <v>0.56695604620958373</v>
      </c>
      <c r="U39" s="8">
        <f t="shared" si="128"/>
        <v>9.6199109222802726E-2</v>
      </c>
      <c r="V39" s="8">
        <f>+V24/R24-1</f>
        <v>0.32314081702044972</v>
      </c>
      <c r="W39" s="8">
        <f t="shared" ref="W39" si="131">+W24/S24-1</f>
        <v>0.22652342815479787</v>
      </c>
      <c r="X39" s="8">
        <f t="shared" si="122"/>
        <v>0.30000000000000004</v>
      </c>
      <c r="Y39" s="8">
        <f t="shared" si="122"/>
        <v>0.30000000000000004</v>
      </c>
      <c r="Z39" s="8">
        <f t="shared" si="122"/>
        <v>0.30000000000000004</v>
      </c>
      <c r="AC39" s="8"/>
      <c r="AD39" s="8">
        <f t="shared" ref="AD39:AF39" si="132">+AD24/AC24-1</f>
        <v>-8.6507609299657506E-2</v>
      </c>
      <c r="AE39" s="8">
        <f t="shared" si="132"/>
        <v>0.10000000000000009</v>
      </c>
      <c r="AF39" s="8">
        <f t="shared" si="132"/>
        <v>0.10000000000000009</v>
      </c>
      <c r="AG39" s="8">
        <f>+AG24/AF24-1</f>
        <v>-0.42551271990361805</v>
      </c>
      <c r="AH39" s="8">
        <f t="shared" ref="AH39:AM39" si="133">+AH24/AG24-1</f>
        <v>0.10000000000000009</v>
      </c>
      <c r="AI39" s="8">
        <f t="shared" si="133"/>
        <v>0.10000000000000009</v>
      </c>
      <c r="AJ39" s="8">
        <f t="shared" si="133"/>
        <v>0.10000000000000009</v>
      </c>
      <c r="AK39" s="8">
        <f t="shared" si="133"/>
        <v>0.10000000000000009</v>
      </c>
      <c r="AL39" s="8">
        <f t="shared" si="133"/>
        <v>0.10000000000000009</v>
      </c>
      <c r="AM39" s="8">
        <f t="shared" si="133"/>
        <v>0.10000000000000009</v>
      </c>
    </row>
    <row r="41" spans="2:39" s="3" customFormat="1" x14ac:dyDescent="0.25">
      <c r="B41" s="3" t="s">
        <v>3</v>
      </c>
      <c r="C41" s="4"/>
      <c r="D41" s="4"/>
      <c r="E41" s="4"/>
      <c r="F41" s="4"/>
      <c r="G41" s="4"/>
      <c r="H41" s="4"/>
      <c r="I41" s="4"/>
      <c r="J41" s="4"/>
      <c r="K41" s="4">
        <f>2269.411+33.804+252.563+29.222</f>
        <v>2585.0000000000005</v>
      </c>
      <c r="L41" s="4"/>
      <c r="M41" s="4"/>
      <c r="N41" s="4"/>
      <c r="O41" s="4">
        <f>1264.738+1639.797+11.946+12.095</f>
        <v>2928.5759999999996</v>
      </c>
      <c r="P41" s="4">
        <f>1055.923+2047.329</f>
        <v>3103.252</v>
      </c>
      <c r="Q41" s="4">
        <f>1040.31+2243.264</f>
        <v>3283.5740000000001</v>
      </c>
      <c r="R41" s="4">
        <f>831.047+2843.132</f>
        <v>3674.1790000000001</v>
      </c>
      <c r="S41" s="4">
        <f>520.388+3347.512</f>
        <v>3867.9</v>
      </c>
      <c r="T41" s="4">
        <f>512.659+3485.8</f>
        <v>3998.4590000000003</v>
      </c>
      <c r="U41" s="3">
        <f>768.71+3795.949</f>
        <v>4564.6589999999997</v>
      </c>
      <c r="V41" s="3">
        <f>2098.524+3131.463</f>
        <v>5229.9870000000001</v>
      </c>
      <c r="W41" s="3">
        <f>993.464+4437.225</f>
        <v>5430.6890000000003</v>
      </c>
      <c r="AF41" s="4">
        <f>831.047+2843.132</f>
        <v>3674.1790000000001</v>
      </c>
      <c r="AG41" s="3">
        <f t="shared" ref="AG41:AG46" si="134">+V41</f>
        <v>5229.9870000000001</v>
      </c>
    </row>
    <row r="42" spans="2:39" s="3" customFormat="1" x14ac:dyDescent="0.25">
      <c r="B42" s="3" t="s">
        <v>34</v>
      </c>
      <c r="C42" s="4"/>
      <c r="D42" s="4"/>
      <c r="E42" s="4"/>
      <c r="F42" s="4"/>
      <c r="G42" s="4"/>
      <c r="H42" s="4"/>
      <c r="I42" s="4"/>
      <c r="J42" s="4"/>
      <c r="K42" s="4">
        <v>256.55399999999997</v>
      </c>
      <c r="L42" s="4"/>
      <c r="M42" s="4"/>
      <c r="N42" s="4"/>
      <c r="O42" s="4">
        <v>254.041</v>
      </c>
      <c r="P42" s="4">
        <v>375.75599999999997</v>
      </c>
      <c r="Q42" s="4">
        <v>430.26900000000001</v>
      </c>
      <c r="R42" s="4">
        <v>364.78399999999999</v>
      </c>
      <c r="S42" s="4">
        <v>486.98599999999999</v>
      </c>
      <c r="T42" s="4">
        <v>659.33900000000006</v>
      </c>
      <c r="U42" s="3">
        <v>668.11</v>
      </c>
      <c r="V42" s="3">
        <v>575.048</v>
      </c>
      <c r="W42" s="3">
        <v>725.20500000000004</v>
      </c>
      <c r="AF42" s="4">
        <v>364.78399999999999</v>
      </c>
      <c r="AG42" s="3">
        <f t="shared" si="134"/>
        <v>575.048</v>
      </c>
    </row>
    <row r="43" spans="2:39" s="3" customFormat="1" x14ac:dyDescent="0.25">
      <c r="B43" s="3" t="s">
        <v>35</v>
      </c>
      <c r="C43" s="4"/>
      <c r="D43" s="4"/>
      <c r="E43" s="4"/>
      <c r="F43" s="4"/>
      <c r="G43" s="4"/>
      <c r="H43" s="4"/>
      <c r="I43" s="4"/>
      <c r="J43" s="4"/>
      <c r="K43" s="4">
        <v>115.042</v>
      </c>
      <c r="L43" s="4"/>
      <c r="M43" s="4"/>
      <c r="N43" s="4"/>
      <c r="O43" s="4">
        <v>85.625</v>
      </c>
      <c r="P43" s="4">
        <v>97.906000000000006</v>
      </c>
      <c r="Q43" s="4">
        <v>95.554000000000002</v>
      </c>
      <c r="R43" s="4">
        <v>99.655000000000001</v>
      </c>
      <c r="S43" s="4">
        <v>81.177999999999997</v>
      </c>
      <c r="T43" s="4">
        <v>115.712</v>
      </c>
      <c r="U43" s="3">
        <v>119.193</v>
      </c>
      <c r="V43" s="3">
        <v>129.25399999999999</v>
      </c>
      <c r="W43" s="3">
        <v>126.705</v>
      </c>
      <c r="AF43" s="4">
        <v>99.655000000000001</v>
      </c>
      <c r="AG43" s="3">
        <f t="shared" si="134"/>
        <v>129.25399999999999</v>
      </c>
    </row>
    <row r="44" spans="2:39" s="3" customFormat="1" x14ac:dyDescent="0.25">
      <c r="B44" s="3" t="s">
        <v>36</v>
      </c>
      <c r="C44" s="4"/>
      <c r="D44" s="4"/>
      <c r="E44" s="4"/>
      <c r="F44" s="4"/>
      <c r="G44" s="4"/>
      <c r="H44" s="4"/>
      <c r="I44" s="4"/>
      <c r="J44" s="4"/>
      <c r="K44" s="4">
        <v>41.866</v>
      </c>
      <c r="L44" s="4"/>
      <c r="M44" s="4"/>
      <c r="N44" s="4"/>
      <c r="O44" s="4">
        <v>63.115000000000002</v>
      </c>
      <c r="P44" s="4">
        <v>54.097000000000001</v>
      </c>
      <c r="Q44" s="4">
        <v>50.133000000000003</v>
      </c>
      <c r="R44" s="4">
        <v>47.758000000000003</v>
      </c>
      <c r="S44" s="4">
        <v>46.905999999999999</v>
      </c>
      <c r="T44" s="4">
        <v>43.482999999999997</v>
      </c>
      <c r="U44" s="3">
        <v>40.344999999999999</v>
      </c>
      <c r="V44" s="3">
        <v>39.637999999999998</v>
      </c>
      <c r="W44" s="3">
        <v>39.668999999999997</v>
      </c>
      <c r="AF44" s="4">
        <v>47.758000000000003</v>
      </c>
      <c r="AG44" s="3">
        <f t="shared" si="134"/>
        <v>39.637999999999998</v>
      </c>
    </row>
    <row r="45" spans="2:39" s="3" customFormat="1" x14ac:dyDescent="0.25">
      <c r="B45" s="3" t="s">
        <v>37</v>
      </c>
      <c r="C45" s="4"/>
      <c r="D45" s="4"/>
      <c r="E45" s="4"/>
      <c r="F45" s="4"/>
      <c r="G45" s="4"/>
      <c r="H45" s="4"/>
      <c r="I45" s="4"/>
      <c r="J45" s="4"/>
      <c r="K45" s="4">
        <v>224.88800000000001</v>
      </c>
      <c r="L45" s="4"/>
      <c r="M45" s="4"/>
      <c r="N45" s="4"/>
      <c r="O45" s="4">
        <v>210.01900000000001</v>
      </c>
      <c r="P45" s="4">
        <v>199.661</v>
      </c>
      <c r="Q45" s="4">
        <v>190.191</v>
      </c>
      <c r="R45" s="4">
        <v>182.863</v>
      </c>
      <c r="S45" s="4">
        <v>173.70699999999999</v>
      </c>
      <c r="T45" s="4">
        <v>213.453</v>
      </c>
      <c r="U45" s="3">
        <v>211.57</v>
      </c>
      <c r="V45" s="3">
        <v>200.74</v>
      </c>
      <c r="W45" s="3">
        <v>209.34800000000001</v>
      </c>
      <c r="AF45" s="4">
        <v>182.863</v>
      </c>
      <c r="AG45" s="3">
        <f t="shared" si="134"/>
        <v>200.74</v>
      </c>
    </row>
    <row r="46" spans="2:39" s="3" customFormat="1" x14ac:dyDescent="0.25">
      <c r="B46" s="3" t="s">
        <v>38</v>
      </c>
      <c r="C46" s="4"/>
      <c r="D46" s="4"/>
      <c r="E46" s="4"/>
      <c r="F46" s="4"/>
      <c r="G46" s="4"/>
      <c r="H46" s="4"/>
      <c r="I46" s="4"/>
      <c r="J46" s="4"/>
      <c r="K46" s="4">
        <v>95.828999999999994</v>
      </c>
      <c r="L46" s="4"/>
      <c r="M46" s="4"/>
      <c r="N46" s="4"/>
      <c r="O46" s="4">
        <v>141.762</v>
      </c>
      <c r="P46" s="4">
        <v>149.59200000000001</v>
      </c>
      <c r="Q46" s="4">
        <v>143.696</v>
      </c>
      <c r="R46" s="4">
        <v>153.18600000000001</v>
      </c>
      <c r="S46" s="4">
        <v>150.40199999999999</v>
      </c>
      <c r="T46" s="4">
        <v>161.434</v>
      </c>
      <c r="U46" s="3">
        <v>164.22</v>
      </c>
      <c r="V46" s="3">
        <v>166.21700000000001</v>
      </c>
      <c r="W46" s="3">
        <v>205.30099999999999</v>
      </c>
      <c r="AF46" s="4">
        <v>153.18600000000001</v>
      </c>
      <c r="AG46" s="3">
        <f t="shared" si="134"/>
        <v>166.21700000000001</v>
      </c>
    </row>
    <row r="47" spans="2:39" s="3" customFormat="1" x14ac:dyDescent="0.25">
      <c r="B47" s="3" t="s">
        <v>39</v>
      </c>
      <c r="C47" s="4"/>
      <c r="D47" s="4"/>
      <c r="E47" s="4"/>
      <c r="F47" s="4"/>
      <c r="G47" s="4"/>
      <c r="H47" s="4"/>
      <c r="I47" s="4"/>
      <c r="J47" s="4"/>
      <c r="K47" s="4">
        <f>SUM(K41:K46)</f>
        <v>3319.1790000000005</v>
      </c>
      <c r="L47" s="4"/>
      <c r="M47" s="4"/>
      <c r="N47" s="4"/>
      <c r="O47" s="4">
        <f t="shared" ref="O47:W47" si="135">SUM(O41:O46)</f>
        <v>3683.1379999999995</v>
      </c>
      <c r="P47" s="4">
        <f t="shared" si="135"/>
        <v>3980.2640000000001</v>
      </c>
      <c r="Q47" s="4">
        <f t="shared" si="135"/>
        <v>4193.4169999999995</v>
      </c>
      <c r="R47" s="4">
        <f t="shared" si="135"/>
        <v>4522.4250000000002</v>
      </c>
      <c r="S47" s="4">
        <f t="shared" si="135"/>
        <v>4807.0790000000006</v>
      </c>
      <c r="T47" s="4">
        <f t="shared" si="135"/>
        <v>5191.8800000000019</v>
      </c>
      <c r="U47" s="4">
        <f t="shared" si="135"/>
        <v>5768.0969999999998</v>
      </c>
      <c r="V47" s="4">
        <f t="shared" si="135"/>
        <v>6340.8839999999991</v>
      </c>
      <c r="W47" s="4">
        <f t="shared" si="135"/>
        <v>6736.9170000000004</v>
      </c>
      <c r="AF47" s="4">
        <f>SUM(AF41:AF46)</f>
        <v>4522.4250000000002</v>
      </c>
      <c r="AG47" s="3">
        <f>SUM(AG41:AG46)</f>
        <v>6340.8839999999991</v>
      </c>
    </row>
    <row r="48" spans="2:39" x14ac:dyDescent="0.25">
      <c r="AF48" s="2"/>
    </row>
    <row r="49" spans="2:33" s="3" customFormat="1" x14ac:dyDescent="0.25">
      <c r="B49" s="3" t="s">
        <v>40</v>
      </c>
      <c r="C49" s="4"/>
      <c r="D49" s="4"/>
      <c r="E49" s="4"/>
      <c r="F49" s="4"/>
      <c r="G49" s="4"/>
      <c r="H49" s="4"/>
      <c r="I49" s="4"/>
      <c r="J49" s="4"/>
      <c r="K49" s="4">
        <v>27.454000000000001</v>
      </c>
      <c r="L49" s="4"/>
      <c r="M49" s="4"/>
      <c r="N49" s="4"/>
      <c r="O49" s="4">
        <v>4.53</v>
      </c>
      <c r="P49" s="4">
        <v>4.6130000000000004</v>
      </c>
      <c r="Q49" s="4">
        <v>9.4749999999999996</v>
      </c>
      <c r="R49" s="4">
        <v>12.122</v>
      </c>
      <c r="S49" s="4">
        <v>35.634</v>
      </c>
      <c r="T49" s="4">
        <v>67.344999999999999</v>
      </c>
      <c r="U49" s="3">
        <v>27.021000000000001</v>
      </c>
      <c r="V49" s="3">
        <v>0.10299999999999999</v>
      </c>
      <c r="W49" s="3">
        <v>2.33</v>
      </c>
      <c r="AF49" s="4">
        <v>12.122</v>
      </c>
      <c r="AG49" s="3">
        <f t="shared" ref="AG49:AG55" si="136">+V49</f>
        <v>0.10299999999999999</v>
      </c>
    </row>
    <row r="50" spans="2:33" s="3" customFormat="1" x14ac:dyDescent="0.25">
      <c r="B50" s="3" t="s">
        <v>41</v>
      </c>
      <c r="C50" s="4"/>
      <c r="D50" s="4"/>
      <c r="E50" s="4"/>
      <c r="F50" s="4"/>
      <c r="G50" s="4"/>
      <c r="H50" s="4"/>
      <c r="I50" s="4"/>
      <c r="J50" s="4"/>
      <c r="K50" s="4">
        <v>150.17599999999999</v>
      </c>
      <c r="L50" s="4"/>
      <c r="M50" s="4"/>
      <c r="N50" s="4"/>
      <c r="O50" s="4">
        <v>174.52500000000001</v>
      </c>
      <c r="P50" s="4">
        <v>184.61699999999999</v>
      </c>
      <c r="Q50" s="4">
        <v>174.75299999999999</v>
      </c>
      <c r="R50" s="4">
        <v>222.99100000000001</v>
      </c>
      <c r="S50" s="4">
        <v>206.03399999999999</v>
      </c>
      <c r="T50" s="4">
        <v>195.489</v>
      </c>
      <c r="U50" s="3">
        <v>265.24400000000003</v>
      </c>
      <c r="V50" s="3">
        <v>427.04599999999999</v>
      </c>
      <c r="W50" s="3">
        <v>371.06099999999998</v>
      </c>
      <c r="AF50" s="4">
        <v>222.99100000000001</v>
      </c>
      <c r="AG50" s="3">
        <f t="shared" si="136"/>
        <v>427.04599999999999</v>
      </c>
    </row>
    <row r="51" spans="2:33" s="3" customFormat="1" x14ac:dyDescent="0.25">
      <c r="B51" s="3" t="s">
        <v>42</v>
      </c>
      <c r="C51" s="4"/>
      <c r="D51" s="4"/>
      <c r="E51" s="4"/>
      <c r="F51" s="4"/>
      <c r="G51" s="4"/>
      <c r="H51" s="4"/>
      <c r="I51" s="4"/>
      <c r="J51" s="4"/>
      <c r="K51" s="4">
        <f>218.521+33.244</f>
        <v>251.76499999999999</v>
      </c>
      <c r="L51" s="4"/>
      <c r="M51" s="4"/>
      <c r="N51" s="4"/>
      <c r="O51" s="4">
        <f>229.551+54.4</f>
        <v>283.95099999999996</v>
      </c>
      <c r="P51" s="4">
        <f>260.335+50.408</f>
        <v>310.74299999999999</v>
      </c>
      <c r="Q51" s="4">
        <f>223.507+34.88</f>
        <v>258.387</v>
      </c>
      <c r="R51" s="4">
        <f>246.901+28.047</f>
        <v>274.94800000000004</v>
      </c>
      <c r="S51" s="4">
        <f>237.195+20.722</f>
        <v>257.91699999999997</v>
      </c>
      <c r="T51" s="4">
        <f>278.441+15.649</f>
        <v>294.08999999999997</v>
      </c>
      <c r="U51" s="3">
        <f>236.608+7.825</f>
        <v>244.43299999999999</v>
      </c>
      <c r="V51" s="3">
        <f>259.624+39.885</f>
        <v>299.50900000000001</v>
      </c>
      <c r="W51" s="3">
        <f>318.556+36.372</f>
        <v>354.928</v>
      </c>
      <c r="AF51" s="4">
        <f>246.901+28.047</f>
        <v>274.94800000000004</v>
      </c>
      <c r="AG51" s="3">
        <f t="shared" si="136"/>
        <v>299.50900000000001</v>
      </c>
    </row>
    <row r="52" spans="2:33" s="3" customFormat="1" x14ac:dyDescent="0.25">
      <c r="B52" s="3" t="s">
        <v>43</v>
      </c>
      <c r="C52" s="4"/>
      <c r="D52" s="4"/>
      <c r="E52" s="4"/>
      <c r="F52" s="4"/>
      <c r="G52" s="4"/>
      <c r="H52" s="4"/>
      <c r="I52" s="4"/>
      <c r="J52" s="4"/>
      <c r="K52" s="4">
        <f>232.908+22.276</f>
        <v>255.184</v>
      </c>
      <c r="L52" s="4"/>
      <c r="M52" s="4"/>
      <c r="N52" s="4"/>
      <c r="O52" s="4">
        <f>139.741+4.162</f>
        <v>143.90300000000002</v>
      </c>
      <c r="P52" s="4">
        <f>183.964+3.099</f>
        <v>187.06299999999999</v>
      </c>
      <c r="Q52" s="4">
        <f>228.986+2.234</f>
        <v>231.22</v>
      </c>
      <c r="R52" s="4">
        <f>1.477+209.828</f>
        <v>211.30500000000001</v>
      </c>
      <c r="S52" s="4">
        <f>217.634+1.651</f>
        <v>219.285</v>
      </c>
      <c r="T52" s="4">
        <f>221.519+1.527</f>
        <v>223.04599999999999</v>
      </c>
      <c r="U52" s="3">
        <f>366.946+3.681</f>
        <v>370.62700000000001</v>
      </c>
      <c r="V52" s="3">
        <f>1.663+265.252</f>
        <v>266.91500000000002</v>
      </c>
      <c r="W52" s="3">
        <f>231.077+1.463</f>
        <v>232.54</v>
      </c>
      <c r="AF52" s="4">
        <f>1.477+209.828</f>
        <v>211.30500000000001</v>
      </c>
      <c r="AG52" s="3">
        <f t="shared" si="136"/>
        <v>266.91500000000002</v>
      </c>
    </row>
    <row r="53" spans="2:33" s="3" customFormat="1" x14ac:dyDescent="0.25">
      <c r="B53" s="3" t="s">
        <v>37</v>
      </c>
      <c r="C53" s="4"/>
      <c r="D53" s="4"/>
      <c r="E53" s="4"/>
      <c r="F53" s="4"/>
      <c r="G53" s="4"/>
      <c r="H53" s="4"/>
      <c r="I53" s="4"/>
      <c r="J53" s="4"/>
      <c r="K53" s="4">
        <f>40.045+227.617</f>
        <v>267.66199999999998</v>
      </c>
      <c r="L53" s="4"/>
      <c r="M53" s="4"/>
      <c r="N53" s="4"/>
      <c r="O53" s="4">
        <f>53.066+206.422</f>
        <v>259.488</v>
      </c>
      <c r="P53" s="4">
        <f>51.855+194.134</f>
        <v>245.98899999999998</v>
      </c>
      <c r="Q53" s="4">
        <f>52.204+184.067</f>
        <v>236.27100000000002</v>
      </c>
      <c r="R53" s="4">
        <f>54.176+175.216</f>
        <v>229.392</v>
      </c>
      <c r="S53" s="4">
        <f>54.056+163.013</f>
        <v>217.06900000000002</v>
      </c>
      <c r="T53" s="4">
        <f>44.125+214.334</f>
        <v>258.459</v>
      </c>
      <c r="U53" s="3">
        <f>47.637+207.278</f>
        <v>254.91499999999999</v>
      </c>
      <c r="V53" s="3">
        <f>195.226+43.993</f>
        <v>239.21899999999999</v>
      </c>
      <c r="W53" s="3">
        <f>200.177+44.419</f>
        <v>244.596</v>
      </c>
      <c r="AF53" s="4">
        <f>54.176+175.216</f>
        <v>229.392</v>
      </c>
      <c r="AG53" s="3">
        <f t="shared" si="136"/>
        <v>239.21899999999999</v>
      </c>
    </row>
    <row r="54" spans="2:33" s="3" customFormat="1" x14ac:dyDescent="0.25">
      <c r="B54" s="3" t="s">
        <v>46</v>
      </c>
      <c r="C54" s="4"/>
      <c r="D54" s="4"/>
      <c r="E54" s="4"/>
      <c r="F54" s="4"/>
      <c r="G54" s="4"/>
      <c r="H54" s="4"/>
      <c r="I54" s="4"/>
      <c r="J54" s="4"/>
      <c r="K54" s="4">
        <v>2.1920000000000002</v>
      </c>
      <c r="L54" s="4"/>
      <c r="M54" s="4"/>
      <c r="N54" s="4"/>
      <c r="O54" s="4">
        <v>13.548</v>
      </c>
      <c r="P54" s="4">
        <v>12.101000000000001</v>
      </c>
      <c r="Q54" s="4">
        <v>11.414</v>
      </c>
      <c r="R54" s="4">
        <v>10.702</v>
      </c>
      <c r="S54" s="4">
        <v>9.968</v>
      </c>
      <c r="T54" s="4">
        <v>15.645</v>
      </c>
      <c r="U54" s="3">
        <v>14.494999999999999</v>
      </c>
      <c r="V54" s="3">
        <v>13.685</v>
      </c>
      <c r="W54" s="3">
        <v>12.489000000000001</v>
      </c>
      <c r="AF54" s="4">
        <v>10.702</v>
      </c>
      <c r="AG54" s="3">
        <f t="shared" si="136"/>
        <v>13.685</v>
      </c>
    </row>
    <row r="55" spans="2:33" s="3" customFormat="1" x14ac:dyDescent="0.25">
      <c r="B55" s="3" t="s">
        <v>44</v>
      </c>
      <c r="C55" s="4"/>
      <c r="D55" s="4"/>
      <c r="E55" s="4"/>
      <c r="F55" s="4"/>
      <c r="G55" s="4"/>
      <c r="H55" s="4"/>
      <c r="I55" s="4"/>
      <c r="J55" s="4"/>
      <c r="K55" s="4">
        <v>2364.7460000000001</v>
      </c>
      <c r="L55" s="4"/>
      <c r="M55" s="4"/>
      <c r="N55" s="4"/>
      <c r="O55" s="4">
        <v>2803.1930000000002</v>
      </c>
      <c r="P55" s="4">
        <v>3035.1379999999999</v>
      </c>
      <c r="Q55" s="4">
        <v>3271.8969999999999</v>
      </c>
      <c r="R55" s="4">
        <v>3560.9650000000001</v>
      </c>
      <c r="S55" s="4">
        <v>3861.172</v>
      </c>
      <c r="T55" s="4">
        <v>4137.8059999999996</v>
      </c>
      <c r="U55" s="3">
        <v>4591.3620000000001</v>
      </c>
      <c r="V55" s="3">
        <v>5094.4070000000002</v>
      </c>
      <c r="W55" s="3">
        <v>5518.973</v>
      </c>
      <c r="AF55" s="4">
        <v>3560.9650000000001</v>
      </c>
      <c r="AG55" s="3">
        <f t="shared" si="136"/>
        <v>5094.4070000000002</v>
      </c>
    </row>
    <row r="56" spans="2:33" s="3" customFormat="1" x14ac:dyDescent="0.25">
      <c r="B56" s="3" t="s">
        <v>45</v>
      </c>
      <c r="C56" s="4"/>
      <c r="D56" s="4"/>
      <c r="E56" s="4"/>
      <c r="F56" s="4"/>
      <c r="G56" s="4"/>
      <c r="H56" s="4"/>
      <c r="I56" s="4"/>
      <c r="J56" s="4"/>
      <c r="K56" s="4">
        <f>SUM(K49:K55)</f>
        <v>3319.1790000000001</v>
      </c>
      <c r="L56" s="4"/>
      <c r="M56" s="4"/>
      <c r="N56" s="4"/>
      <c r="O56" s="4">
        <f t="shared" ref="O56:W56" si="137">SUM(O49:O55)</f>
        <v>3683.1379999999999</v>
      </c>
      <c r="P56" s="4">
        <f t="shared" si="137"/>
        <v>3980.2639999999997</v>
      </c>
      <c r="Q56" s="4">
        <f t="shared" si="137"/>
        <v>4193.4169999999995</v>
      </c>
      <c r="R56" s="4">
        <f t="shared" si="137"/>
        <v>4522.4250000000002</v>
      </c>
      <c r="S56" s="4">
        <f t="shared" si="137"/>
        <v>4807.0789999999997</v>
      </c>
      <c r="T56" s="4">
        <f t="shared" si="137"/>
        <v>5191.8799999999992</v>
      </c>
      <c r="U56" s="4">
        <f t="shared" si="137"/>
        <v>5768.0969999999998</v>
      </c>
      <c r="V56" s="4">
        <f t="shared" si="137"/>
        <v>6340.884</v>
      </c>
      <c r="W56" s="4">
        <f t="shared" si="137"/>
        <v>6736.9169999999995</v>
      </c>
      <c r="AF56" s="4">
        <f>SUM(AF49:AF55)</f>
        <v>4522.4250000000002</v>
      </c>
      <c r="AG56" s="3">
        <f>SUM(AG49:AG55)</f>
        <v>6340.884</v>
      </c>
    </row>
    <row r="57" spans="2:33" x14ac:dyDescent="0.25">
      <c r="W57" s="3"/>
    </row>
    <row r="58" spans="2:33" x14ac:dyDescent="0.25">
      <c r="B58" s="3" t="s">
        <v>56</v>
      </c>
      <c r="O58" s="4">
        <f>+O30</f>
        <v>131.51600000000008</v>
      </c>
      <c r="R58" s="4"/>
      <c r="S58" s="4">
        <f>+S30</f>
        <v>231.18099999999993</v>
      </c>
      <c r="T58" s="4">
        <f>+T30</f>
        <v>225.89000000000001</v>
      </c>
      <c r="U58" s="4">
        <f>+U30</f>
        <v>285.95000000000005</v>
      </c>
      <c r="V58" s="4">
        <f>+V30</f>
        <v>343.96600000000001</v>
      </c>
      <c r="W58" s="4">
        <f>+W30</f>
        <v>375.37400000000008</v>
      </c>
      <c r="AD58" s="16">
        <f>+AD30</f>
        <v>-444.96400000000006</v>
      </c>
      <c r="AE58" s="16">
        <f>+AE30</f>
        <v>-250.18730000000028</v>
      </c>
      <c r="AF58" s="16">
        <f>+AF30</f>
        <v>-172.64291000000003</v>
      </c>
      <c r="AG58" s="3">
        <f t="shared" ref="AG58:AG66" si="138">SUM(S58:V58)</f>
        <v>1086.9870000000001</v>
      </c>
    </row>
    <row r="59" spans="2:33" x14ac:dyDescent="0.25">
      <c r="B59" s="3" t="s">
        <v>57</v>
      </c>
      <c r="O59" s="4">
        <v>19.151</v>
      </c>
      <c r="R59" s="4"/>
      <c r="S59" s="4">
        <v>106.071</v>
      </c>
      <c r="T59" s="4">
        <f>241.641-S59</f>
        <v>135.57</v>
      </c>
      <c r="U59" s="3">
        <f>390.982-T59-S59</f>
        <v>149.34100000000004</v>
      </c>
      <c r="V59" s="3">
        <f>467.918-U59-T59-S59</f>
        <v>76.936000000000007</v>
      </c>
      <c r="W59" s="3">
        <v>217.71700000000001</v>
      </c>
      <c r="AD59" s="16">
        <v>-520.37900000000002</v>
      </c>
      <c r="AE59" s="16">
        <v>-371.09399999999999</v>
      </c>
      <c r="AF59" s="16">
        <v>217.375</v>
      </c>
      <c r="AG59" s="3">
        <f t="shared" si="138"/>
        <v>467.91800000000001</v>
      </c>
    </row>
    <row r="60" spans="2:33" x14ac:dyDescent="0.25">
      <c r="B60" s="3" t="s">
        <v>58</v>
      </c>
      <c r="O60" s="4">
        <v>8.32</v>
      </c>
      <c r="R60" s="4"/>
      <c r="S60" s="4">
        <v>8.4380000000000006</v>
      </c>
      <c r="T60" s="4">
        <f>16.494-S60</f>
        <v>8.0559999999999992</v>
      </c>
      <c r="U60" s="3">
        <f>24.581-T60-S60</f>
        <v>8.086999999999998</v>
      </c>
      <c r="V60" s="3">
        <f>31.587-U60-T60-S60</f>
        <v>7.0060000000000002</v>
      </c>
      <c r="W60" s="3">
        <v>6.6219999999999999</v>
      </c>
      <c r="AD60" s="16">
        <v>14.897</v>
      </c>
      <c r="AE60" s="16">
        <v>22.521999999999998</v>
      </c>
      <c r="AF60" s="16">
        <v>33.353999999999999</v>
      </c>
      <c r="AG60" s="3">
        <f t="shared" si="138"/>
        <v>31.586999999999996</v>
      </c>
    </row>
    <row r="61" spans="2:33" x14ac:dyDescent="0.25">
      <c r="B61" s="3" t="s">
        <v>59</v>
      </c>
      <c r="O61" s="4">
        <v>114.714</v>
      </c>
      <c r="R61" s="4"/>
      <c r="S61" s="4">
        <v>125.651</v>
      </c>
      <c r="T61" s="4">
        <f>267.415-S61</f>
        <v>141.76400000000001</v>
      </c>
      <c r="U61" s="3">
        <f>409.84-T61-S61</f>
        <v>142.42499999999995</v>
      </c>
      <c r="V61" s="3">
        <f>691.638-U61-T61-S61</f>
        <v>281.79800000000006</v>
      </c>
      <c r="W61" s="3">
        <v>155.339</v>
      </c>
      <c r="AD61" s="16">
        <v>778.21500000000003</v>
      </c>
      <c r="AE61" s="16">
        <v>564.798</v>
      </c>
      <c r="AF61" s="16">
        <v>475.90300000000002</v>
      </c>
      <c r="AG61" s="3">
        <f t="shared" si="138"/>
        <v>691.63800000000003</v>
      </c>
    </row>
    <row r="62" spans="2:33" x14ac:dyDescent="0.25">
      <c r="B62" s="3" t="s">
        <v>37</v>
      </c>
      <c r="O62" s="4">
        <v>10.836</v>
      </c>
      <c r="R62" s="4"/>
      <c r="S62" s="4">
        <v>12.366</v>
      </c>
      <c r="T62" s="4">
        <f>22.439-S62</f>
        <v>10.073</v>
      </c>
      <c r="U62" s="3">
        <f>32.041-T62-S62</f>
        <v>9.6019999999999968</v>
      </c>
      <c r="V62" s="3">
        <f>41.239-U62-T62-S62</f>
        <v>9.1980000000000004</v>
      </c>
      <c r="W62" s="3">
        <v>10.688000000000001</v>
      </c>
      <c r="AD62" s="16">
        <v>33.820999999999998</v>
      </c>
      <c r="AE62" s="16">
        <v>40.308999999999997</v>
      </c>
      <c r="AF62" s="16">
        <v>47.018999999999998</v>
      </c>
      <c r="AG62" s="3">
        <f t="shared" si="138"/>
        <v>41.238999999999997</v>
      </c>
    </row>
    <row r="63" spans="2:33" x14ac:dyDescent="0.25">
      <c r="B63" s="3" t="s">
        <v>60</v>
      </c>
      <c r="O63" s="4">
        <v>8.5079999999999991</v>
      </c>
      <c r="R63" s="4"/>
      <c r="S63" s="4">
        <v>12.353999999999999</v>
      </c>
      <c r="T63" s="4">
        <f>20.042-S63</f>
        <v>7.6880000000000024</v>
      </c>
      <c r="U63" s="3">
        <f>26.021-T63-S63</f>
        <v>5.9789999999999992</v>
      </c>
      <c r="V63" s="3">
        <f>19.306-U63-T63-S63</f>
        <v>-6.7149999999999999</v>
      </c>
      <c r="W63" s="3">
        <v>0</v>
      </c>
      <c r="AD63" s="16">
        <v>73.311000000000007</v>
      </c>
      <c r="AE63" s="16">
        <v>272.108</v>
      </c>
      <c r="AF63" s="16">
        <v>13.16</v>
      </c>
      <c r="AG63" s="3">
        <f t="shared" si="138"/>
        <v>19.306000000000001</v>
      </c>
    </row>
    <row r="64" spans="2:33" x14ac:dyDescent="0.25">
      <c r="B64" s="3" t="s">
        <v>61</v>
      </c>
      <c r="O64" s="4">
        <v>0</v>
      </c>
      <c r="R64" s="4"/>
      <c r="S64" s="4">
        <v>-11.907</v>
      </c>
      <c r="T64" s="4">
        <f>-26.484-S64</f>
        <v>-14.577000000000002</v>
      </c>
      <c r="U64" s="3">
        <f>-34.789-T64-S64</f>
        <v>-8.3049999999999997</v>
      </c>
      <c r="V64" s="3">
        <f>-52.521-U64-T64-S64</f>
        <v>-17.731999999999999</v>
      </c>
      <c r="W64" s="3">
        <v>-17.312999999999999</v>
      </c>
      <c r="AD64" s="16">
        <v>0</v>
      </c>
      <c r="AE64" s="16">
        <v>-15.537000000000001</v>
      </c>
      <c r="AF64" s="16">
        <v>-46.609000000000002</v>
      </c>
      <c r="AG64" s="3">
        <f t="shared" si="138"/>
        <v>-52.521000000000001</v>
      </c>
    </row>
    <row r="65" spans="2:36" x14ac:dyDescent="0.25">
      <c r="B65" s="3" t="s">
        <v>38</v>
      </c>
      <c r="O65" s="4">
        <v>-11.342000000000001</v>
      </c>
      <c r="R65" s="4"/>
      <c r="S65" s="4">
        <v>-6.774</v>
      </c>
      <c r="T65" s="4">
        <f>-11.088-S65</f>
        <v>-4.3139999999999992</v>
      </c>
      <c r="U65" s="3">
        <f>19.115-T65-S65</f>
        <v>30.202999999999999</v>
      </c>
      <c r="V65" s="3">
        <f>24.795-U65-T65-S65</f>
        <v>5.6800000000000015</v>
      </c>
      <c r="W65" s="3">
        <v>3.5310000000000001</v>
      </c>
      <c r="AD65" s="16">
        <f>2.767+43.316</f>
        <v>46.083000000000006</v>
      </c>
      <c r="AE65" s="16">
        <f>16.328-44.306-0.174</f>
        <v>-28.151999999999997</v>
      </c>
      <c r="AF65" s="16">
        <f>-4.806-29.449</f>
        <v>-34.255000000000003</v>
      </c>
      <c r="AG65" s="3">
        <f t="shared" si="138"/>
        <v>24.795000000000002</v>
      </c>
    </row>
    <row r="66" spans="2:36" s="3" customFormat="1" x14ac:dyDescent="0.25">
      <c r="B66" s="3" t="s">
        <v>62</v>
      </c>
      <c r="C66" s="4"/>
      <c r="D66" s="4"/>
      <c r="E66" s="4"/>
      <c r="F66" s="4"/>
      <c r="G66" s="4">
        <v>116881</v>
      </c>
      <c r="H66" s="4"/>
      <c r="I66" s="4"/>
      <c r="J66" s="4"/>
      <c r="K66" s="4">
        <v>35477</v>
      </c>
      <c r="L66" s="4"/>
      <c r="M66" s="4"/>
      <c r="N66" s="4"/>
      <c r="O66" s="4">
        <f>-0.628+1.973-4.551-39.921+4.271+88.673-2.112-10.536+0.2</f>
        <v>37.369</v>
      </c>
      <c r="P66" s="4"/>
      <c r="Q66" s="4"/>
      <c r="R66" s="4"/>
      <c r="S66" s="4">
        <f>-121.884+19.399+3.525+23.809-19.105-14.802+7.953-15.482-0.033</f>
        <v>-116.61999999999999</v>
      </c>
      <c r="T66" s="4">
        <f>-298.311-2.774+5.571+53.372-30.548+21.463+11.806-23.778+6.506-S66</f>
        <v>-140.07299999999998</v>
      </c>
      <c r="U66" s="3">
        <f>-311.699-19.547+4.056+7.71+42.149-27.117+159.457-35.205+5.943-T66-S66</f>
        <v>82.439999999999898</v>
      </c>
      <c r="V66" s="3">
        <f>-211.157+7.202+4.681-18.841+115.634+22.356+54.44-48.966+4.554-U66-T66-S66</f>
        <v>104.15600000000005</v>
      </c>
      <c r="W66" s="3">
        <f>-134.959+40.73+22.395+18.76-13.247</f>
        <v>-66.321000000000012</v>
      </c>
      <c r="AD66" s="16">
        <f>-35.237-10.974-3.345+57.767+15.245+24.732-104.944-32.156-3.185</f>
        <v>-92.097000000000008</v>
      </c>
      <c r="AE66" s="16">
        <f>-72.819-24.811+6.033-29.859+5.527-61.154-49.471-34.59-0.073</f>
        <v>-261.21699999999998</v>
      </c>
      <c r="AF66" s="16">
        <f>-106.159-6.197+3.242-31.832+52.895+79.512+64.347-49.63+0.058</f>
        <v>6.2360000000000042</v>
      </c>
      <c r="AG66" s="3">
        <f t="shared" si="138"/>
        <v>-70.097000000000051</v>
      </c>
    </row>
    <row r="67" spans="2:36" x14ac:dyDescent="0.25">
      <c r="B67" s="3" t="s">
        <v>47</v>
      </c>
      <c r="O67" s="4">
        <f>SUM(O59:O66)</f>
        <v>187.55600000000001</v>
      </c>
      <c r="R67" s="4"/>
      <c r="S67" s="4">
        <f>SUM(S59:S66)</f>
        <v>129.57900000000001</v>
      </c>
      <c r="T67" s="4">
        <f>SUM(T59:T66)</f>
        <v>144.18699999999995</v>
      </c>
      <c r="U67" s="4">
        <f>SUM(U59:U66)</f>
        <v>419.77199999999976</v>
      </c>
      <c r="V67" s="4">
        <f>SUM(V59:V66)</f>
        <v>460.32700000000017</v>
      </c>
      <c r="W67" s="4">
        <f>SUM(W59:W66)</f>
        <v>310.26299999999998</v>
      </c>
      <c r="X67" s="3"/>
      <c r="Y67" s="3"/>
      <c r="Z67" s="3"/>
      <c r="AC67" s="3">
        <v>-296608</v>
      </c>
      <c r="AD67" s="16">
        <f>SUM(AD59:AD66)</f>
        <v>333.851</v>
      </c>
      <c r="AE67" s="16">
        <f>SUM(AE59:AE66)</f>
        <v>223.73700000000002</v>
      </c>
      <c r="AF67" s="16">
        <f>SUM(AF59:AF66)</f>
        <v>712.18299999999999</v>
      </c>
      <c r="AG67" s="3">
        <f>SUM(AG59:AG66)</f>
        <v>1153.8650000000002</v>
      </c>
      <c r="AH67" s="3">
        <v>2200</v>
      </c>
      <c r="AI67" s="3">
        <v>4000</v>
      </c>
      <c r="AJ67">
        <f>+AI67*1.5</f>
        <v>6000</v>
      </c>
    </row>
    <row r="68" spans="2:36" s="18" customFormat="1" ht="13" x14ac:dyDescent="0.3">
      <c r="B68" s="19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1"/>
      <c r="P68" s="20"/>
      <c r="Q68" s="20"/>
      <c r="R68" s="21"/>
      <c r="S68" s="21"/>
      <c r="T68" s="21"/>
      <c r="U68" s="21"/>
      <c r="V68" s="21"/>
      <c r="W68" s="21"/>
      <c r="AC68" s="19"/>
      <c r="AD68" s="22"/>
      <c r="AE68" s="22"/>
      <c r="AF68" s="23">
        <f>AF67/AE67-1</f>
        <v>2.1831257235057229</v>
      </c>
      <c r="AG68" s="23">
        <f>AG67/AF67-1</f>
        <v>0.62018048731856878</v>
      </c>
      <c r="AH68" s="23">
        <f>AH67/AG67-1</f>
        <v>0.90663552495309196</v>
      </c>
      <c r="AI68" s="23">
        <f>AI67/AH67-1</f>
        <v>0.81818181818181812</v>
      </c>
      <c r="AJ68" s="23">
        <f>AJ67/AI67-1</f>
        <v>0.5</v>
      </c>
    </row>
    <row r="70" spans="2:36" x14ac:dyDescent="0.25">
      <c r="B70" s="3" t="s">
        <v>36</v>
      </c>
      <c r="O70" s="4">
        <v>-4.7549999999999999</v>
      </c>
      <c r="R70" s="4"/>
      <c r="S70" s="4">
        <v>-2.6640000000000001</v>
      </c>
      <c r="T70" s="4">
        <f>-5.543-S70</f>
        <v>-2.879</v>
      </c>
      <c r="U70" s="3">
        <f>-9.528-T70-S70</f>
        <v>-3.9850000000000008</v>
      </c>
      <c r="V70" s="3">
        <f>-12.634-U70-T70-S70</f>
        <v>-3.1059999999999994</v>
      </c>
    </row>
    <row r="71" spans="2:36" x14ac:dyDescent="0.25">
      <c r="B71" s="3" t="s">
        <v>64</v>
      </c>
      <c r="O71" s="4">
        <f>-2310.367+709.459+51.072</f>
        <v>-1549.8360000000002</v>
      </c>
      <c r="R71" s="4"/>
      <c r="S71" s="4">
        <f>-1260.327+751.746</f>
        <v>-508.58100000000002</v>
      </c>
      <c r="T71" s="4">
        <f>-1784.115+1133.535-4-S71</f>
        <v>-145.99899999999991</v>
      </c>
      <c r="U71" s="3">
        <f>-3418.699+2451.378-4-T71-S71</f>
        <v>-316.74099999999999</v>
      </c>
      <c r="V71" s="3">
        <f>-5395.913+5073.507-5.15-U71-T71-S71</f>
        <v>643.76499999999999</v>
      </c>
      <c r="W71" s="3"/>
    </row>
    <row r="72" spans="2:36" x14ac:dyDescent="0.25">
      <c r="B72" t="s">
        <v>63</v>
      </c>
      <c r="O72" s="4">
        <f>O70+O71</f>
        <v>-1554.5910000000003</v>
      </c>
      <c r="R72" s="4"/>
      <c r="S72" s="4">
        <f>SUM(S70:S71)</f>
        <v>-511.245</v>
      </c>
      <c r="T72" s="4">
        <f>SUM(T70:T71)</f>
        <v>-148.8779999999999</v>
      </c>
      <c r="U72" s="4">
        <f>SUM(U70:U71)</f>
        <v>-320.726</v>
      </c>
      <c r="V72" s="4">
        <f>SUM(V70:V71)</f>
        <v>640.65899999999999</v>
      </c>
    </row>
    <row r="74" spans="2:36" x14ac:dyDescent="0.25">
      <c r="B74" t="s">
        <v>68</v>
      </c>
      <c r="O74" s="4">
        <v>25.923999999999999</v>
      </c>
      <c r="R74" s="4"/>
      <c r="S74" s="4">
        <v>83.84</v>
      </c>
      <c r="T74" s="4">
        <f>99.87-S74</f>
        <v>16.03</v>
      </c>
      <c r="U74" s="3">
        <f>270.207-T74-S74</f>
        <v>170.33699999999999</v>
      </c>
      <c r="V74" s="3">
        <f>745.396-U74-T74-S74-218.28</f>
        <v>256.90899999999999</v>
      </c>
    </row>
    <row r="75" spans="2:36" x14ac:dyDescent="0.25">
      <c r="B75" t="s">
        <v>69</v>
      </c>
      <c r="O75" s="4">
        <v>0</v>
      </c>
      <c r="R75" s="4"/>
      <c r="S75" s="4">
        <v>-9</v>
      </c>
      <c r="T75" s="4">
        <f>-26.699-S75</f>
        <v>-17.699000000000002</v>
      </c>
      <c r="U75" s="3">
        <f>-45.598-T75-S75</f>
        <v>-18.898999999999997</v>
      </c>
      <c r="V75" s="3">
        <f>-64.196-U75-T75-S75</f>
        <v>-18.597999999999995</v>
      </c>
    </row>
    <row r="76" spans="2:36" x14ac:dyDescent="0.25">
      <c r="B76" t="s">
        <v>38</v>
      </c>
      <c r="O76" s="4">
        <v>5.8999999999999997E-2</v>
      </c>
      <c r="R76" s="4"/>
      <c r="S76" s="4">
        <v>0.40799999999999997</v>
      </c>
      <c r="T76" s="4">
        <f>0.102-S76</f>
        <v>-0.30599999999999999</v>
      </c>
      <c r="U76" s="3">
        <f>0.091-T76-S76</f>
        <v>-1.0999999999999954E-2</v>
      </c>
      <c r="V76" s="3">
        <f>0.444-U76-T76-S76</f>
        <v>0.35299999999999992</v>
      </c>
    </row>
    <row r="77" spans="2:36" x14ac:dyDescent="0.25">
      <c r="B77" t="s">
        <v>67</v>
      </c>
      <c r="O77" s="4">
        <f>SUM(O74:O76)</f>
        <v>25.983000000000001</v>
      </c>
      <c r="R77" s="4"/>
      <c r="S77" s="4">
        <f>SUM(S74:S76)</f>
        <v>75.248000000000005</v>
      </c>
      <c r="T77" s="4">
        <f>SUM(T74:T76)</f>
        <v>-1.9750000000000005</v>
      </c>
      <c r="U77" s="4">
        <f>SUM(U74:U76)</f>
        <v>151.42699999999999</v>
      </c>
      <c r="V77" s="4">
        <f>SUM(V74:V76)</f>
        <v>238.66400000000002</v>
      </c>
    </row>
    <row r="78" spans="2:36" x14ac:dyDescent="0.25">
      <c r="B78" t="s">
        <v>66</v>
      </c>
      <c r="O78" s="4">
        <v>2.6760000000000002</v>
      </c>
      <c r="R78" s="4"/>
      <c r="S78" s="4">
        <v>-4.024</v>
      </c>
      <c r="T78" s="4">
        <f>-4.948-S78</f>
        <v>-0.92400000000000038</v>
      </c>
      <c r="U78" s="3">
        <f>0.96-T78-S78</f>
        <v>5.9080000000000004</v>
      </c>
      <c r="V78" s="3">
        <f>-6.745-U78-T78-S78</f>
        <v>-7.7049999999999992</v>
      </c>
    </row>
    <row r="79" spans="2:36" x14ac:dyDescent="0.25">
      <c r="B79" t="s">
        <v>65</v>
      </c>
      <c r="O79" s="4">
        <f>+O78+O77+O72+O67</f>
        <v>-1338.3760000000002</v>
      </c>
      <c r="R79" s="4"/>
      <c r="S79" s="4">
        <f>+S78+S77+S72+S67</f>
        <v>-310.44200000000001</v>
      </c>
      <c r="T79" s="4">
        <f t="shared" ref="T79:V79" si="139">+T78+T77+T72+T67</f>
        <v>-7.5899999999999466</v>
      </c>
      <c r="U79" s="4">
        <f t="shared" si="139"/>
        <v>256.38099999999974</v>
      </c>
      <c r="V79" s="4">
        <f t="shared" si="139"/>
        <v>1331.9450000000002</v>
      </c>
    </row>
    <row r="82" spans="2:32" x14ac:dyDescent="0.25">
      <c r="B82" t="s">
        <v>70</v>
      </c>
      <c r="R82" s="2">
        <v>375</v>
      </c>
      <c r="S82" s="2">
        <v>427</v>
      </c>
      <c r="T82" s="2">
        <v>467</v>
      </c>
      <c r="U82">
        <v>498</v>
      </c>
      <c r="V82">
        <v>571</v>
      </c>
    </row>
    <row r="83" spans="2:32" x14ac:dyDescent="0.25">
      <c r="B83" t="s">
        <v>84</v>
      </c>
      <c r="N83" s="2">
        <v>367</v>
      </c>
      <c r="R83" s="2">
        <v>497</v>
      </c>
      <c r="S83" s="2">
        <v>554</v>
      </c>
      <c r="T83" s="2">
        <v>593</v>
      </c>
      <c r="U83">
        <v>629</v>
      </c>
      <c r="V83">
        <v>711</v>
      </c>
      <c r="AE83">
        <f>+N83</f>
        <v>367</v>
      </c>
      <c r="AF83">
        <f>+R83</f>
        <v>497</v>
      </c>
    </row>
    <row r="84" spans="2:32" x14ac:dyDescent="0.25">
      <c r="B84" t="s">
        <v>85</v>
      </c>
      <c r="R84" s="8">
        <v>0.62</v>
      </c>
      <c r="AF84" s="8">
        <v>0.62</v>
      </c>
    </row>
    <row r="85" spans="2:32" x14ac:dyDescent="0.25">
      <c r="B85" t="s">
        <v>86</v>
      </c>
      <c r="R85" s="8">
        <v>0.38</v>
      </c>
      <c r="AF85" s="8">
        <v>0.38</v>
      </c>
    </row>
    <row r="86" spans="2:32" x14ac:dyDescent="0.25">
      <c r="B86" t="s">
        <v>87</v>
      </c>
      <c r="R86" s="8">
        <v>0.55000000000000004</v>
      </c>
      <c r="AF86" s="8">
        <v>0.55000000000000004</v>
      </c>
    </row>
    <row r="87" spans="2:32" x14ac:dyDescent="0.25">
      <c r="B87" t="s">
        <v>88</v>
      </c>
      <c r="R87" s="8">
        <v>0.45</v>
      </c>
      <c r="AF87" s="8">
        <v>0.45</v>
      </c>
    </row>
    <row r="89" spans="2:32" x14ac:dyDescent="0.25">
      <c r="U89" s="17">
        <f>+U67/U19</f>
        <v>0.57858406982065147</v>
      </c>
      <c r="V89" s="17">
        <f>+V67/V19</f>
        <v>0.55627363238789707</v>
      </c>
      <c r="W89" s="17">
        <f>+W67/W19</f>
        <v>0.35137372593431482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2025-08-06T16:20:28Z</dcterms:modified>
</cp:coreProperties>
</file>