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9CD63980-6CD3-488E-9B43-2E36433D6313}" xr6:coauthVersionLast="47" xr6:coauthVersionMax="47" xr10:uidLastSave="{00000000-0000-0000-0000-000000000000}"/>
  <bookViews>
    <workbookView xWindow="44550" yWindow="9830" windowWidth="25050" windowHeight="11510" activeTab="1" xr2:uid="{A58330D8-51E0-42B5-92DD-309E3DF4B4D6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72" i="2" l="1"/>
  <c r="W72" i="2"/>
  <c r="T72" i="2"/>
  <c r="S72" i="2"/>
  <c r="W29" i="2"/>
  <c r="V29" i="2"/>
  <c r="U29" i="2"/>
  <c r="T29" i="2"/>
  <c r="S29" i="2"/>
  <c r="R29" i="2"/>
  <c r="Q29" i="2"/>
  <c r="X29" i="2"/>
  <c r="W32" i="2"/>
  <c r="V32" i="2"/>
  <c r="U32" i="2"/>
  <c r="X32" i="2"/>
  <c r="V28" i="2"/>
  <c r="U28" i="2"/>
  <c r="T28" i="2"/>
  <c r="S28" i="2"/>
  <c r="R28" i="2"/>
  <c r="Q28" i="2"/>
  <c r="X28" i="2"/>
  <c r="W28" i="2"/>
  <c r="X26" i="2"/>
  <c r="W26" i="2"/>
  <c r="V26" i="2"/>
  <c r="U26" i="2"/>
  <c r="T26" i="2"/>
  <c r="S26" i="2"/>
  <c r="R26" i="2"/>
  <c r="Q26" i="2"/>
  <c r="X23" i="2"/>
  <c r="X24" i="2" s="1"/>
  <c r="W23" i="2"/>
  <c r="W24" i="2" s="1"/>
  <c r="V23" i="2"/>
  <c r="V24" i="2" s="1"/>
  <c r="U23" i="2"/>
  <c r="U24" i="2" s="1"/>
  <c r="T23" i="2"/>
  <c r="T24" i="2" s="1"/>
  <c r="S23" i="2"/>
  <c r="S24" i="2" s="1"/>
  <c r="R23" i="2"/>
  <c r="R24" i="2" s="1"/>
  <c r="Q24" i="2"/>
  <c r="Q23" i="2"/>
  <c r="X18" i="2"/>
  <c r="W18" i="2"/>
  <c r="V18" i="2"/>
  <c r="U18" i="2"/>
  <c r="T18" i="2"/>
  <c r="S18" i="2"/>
  <c r="R18" i="2"/>
  <c r="Q18" i="2"/>
  <c r="X16" i="2"/>
  <c r="W16" i="2"/>
  <c r="V16" i="2"/>
  <c r="U16" i="2"/>
  <c r="T16" i="2"/>
  <c r="S16" i="2"/>
  <c r="R16" i="2"/>
  <c r="Q16" i="2"/>
  <c r="AM11" i="2"/>
  <c r="AM33" i="2" s="1"/>
  <c r="AN11" i="2" l="1"/>
  <c r="AJ7" i="2"/>
  <c r="AK7" i="2"/>
  <c r="AL7" i="2"/>
  <c r="AJ8" i="2"/>
  <c r="AJ3" i="2" s="1"/>
  <c r="AK8" i="2"/>
  <c r="AK3" i="2" s="1"/>
  <c r="AL8" i="2"/>
  <c r="AL3" i="2" s="1"/>
  <c r="AN33" i="2" l="1"/>
  <c r="AO11" i="2"/>
  <c r="AI33" i="2"/>
  <c r="AJ33" i="2"/>
  <c r="AK33" i="2"/>
  <c r="AD30" i="2"/>
  <c r="AC30" i="2"/>
  <c r="AD23" i="2"/>
  <c r="AC23" i="2"/>
  <c r="AD16" i="2"/>
  <c r="AD18" i="2" s="1"/>
  <c r="AC16" i="2"/>
  <c r="AC18" i="2" s="1"/>
  <c r="AC34" i="2" s="1"/>
  <c r="AE30" i="2"/>
  <c r="AE23" i="2"/>
  <c r="AE16" i="2"/>
  <c r="AE18" i="2" s="1"/>
  <c r="AE34" i="2" s="1"/>
  <c r="AF30" i="2"/>
  <c r="AF23" i="2"/>
  <c r="AF16" i="2"/>
  <c r="AF18" i="2" s="1"/>
  <c r="AF34" i="2" s="1"/>
  <c r="AG30" i="2"/>
  <c r="AG23" i="2"/>
  <c r="AG16" i="2"/>
  <c r="AG18" i="2" s="1"/>
  <c r="AH30" i="2"/>
  <c r="AH23" i="2"/>
  <c r="AH16" i="2"/>
  <c r="AI25" i="2"/>
  <c r="AI23" i="2"/>
  <c r="AI16" i="2"/>
  <c r="AM22" i="2"/>
  <c r="AN22" i="2" s="1"/>
  <c r="AO22" i="2" s="1"/>
  <c r="AP22" i="2" s="1"/>
  <c r="AQ22" i="2" s="1"/>
  <c r="AR22" i="2" s="1"/>
  <c r="AS22" i="2" s="1"/>
  <c r="AT22" i="2" s="1"/>
  <c r="AM21" i="2"/>
  <c r="AN21" i="2" s="1"/>
  <c r="AO21" i="2" s="1"/>
  <c r="AP21" i="2" s="1"/>
  <c r="AQ21" i="2" s="1"/>
  <c r="AR21" i="2" s="1"/>
  <c r="AS21" i="2" s="1"/>
  <c r="AT21" i="2" s="1"/>
  <c r="AM20" i="2"/>
  <c r="AN20" i="2" s="1"/>
  <c r="AO20" i="2" s="1"/>
  <c r="AP20" i="2" s="1"/>
  <c r="AQ20" i="2" s="1"/>
  <c r="AR20" i="2" s="1"/>
  <c r="AS20" i="2" s="1"/>
  <c r="AT20" i="2" s="1"/>
  <c r="AM19" i="2"/>
  <c r="AN19" i="2" s="1"/>
  <c r="AO19" i="2" s="1"/>
  <c r="AP19" i="2" s="1"/>
  <c r="AM25" i="2"/>
  <c r="AN25" i="2" s="1"/>
  <c r="AM30" i="2"/>
  <c r="AN30" i="2" s="1"/>
  <c r="AO30" i="2" s="1"/>
  <c r="AP30" i="2" s="1"/>
  <c r="AQ30" i="2" s="1"/>
  <c r="AR30" i="2" s="1"/>
  <c r="AS30" i="2" s="1"/>
  <c r="AT30" i="2" s="1"/>
  <c r="AL33" i="2"/>
  <c r="AL66" i="2"/>
  <c r="AL67" i="2" s="1"/>
  <c r="AL72" i="2" s="1"/>
  <c r="AL51" i="2"/>
  <c r="AL50" i="2"/>
  <c r="AL49" i="2"/>
  <c r="AL46" i="2"/>
  <c r="AL45" i="2"/>
  <c r="AL39" i="2"/>
  <c r="AL23" i="2"/>
  <c r="AK23" i="2"/>
  <c r="AJ23" i="2"/>
  <c r="AL17" i="2"/>
  <c r="AK17" i="2"/>
  <c r="AJ17" i="2"/>
  <c r="AJ16" i="2"/>
  <c r="AJ37" i="2" s="1"/>
  <c r="AK16" i="2"/>
  <c r="AL16" i="2"/>
  <c r="AI2" i="2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V49" i="2"/>
  <c r="V51" i="2"/>
  <c r="V50" i="2"/>
  <c r="V46" i="2"/>
  <c r="V45" i="2"/>
  <c r="V39" i="2"/>
  <c r="M3" i="1"/>
  <c r="M4" i="1"/>
  <c r="M7" i="1" s="1"/>
  <c r="J23" i="2"/>
  <c r="J16" i="2"/>
  <c r="J18" i="2" s="1"/>
  <c r="I23" i="2"/>
  <c r="I16" i="2"/>
  <c r="I18" i="2" s="1"/>
  <c r="H23" i="2"/>
  <c r="H16" i="2"/>
  <c r="H18" i="2" s="1"/>
  <c r="F23" i="2"/>
  <c r="F16" i="2"/>
  <c r="F18" i="2" s="1"/>
  <c r="E23" i="2"/>
  <c r="E16" i="2"/>
  <c r="E18" i="2" s="1"/>
  <c r="D23" i="2"/>
  <c r="D16" i="2"/>
  <c r="D18" i="2" s="1"/>
  <c r="K33" i="2"/>
  <c r="G25" i="2"/>
  <c r="K25" i="2"/>
  <c r="G23" i="2"/>
  <c r="K23" i="2"/>
  <c r="G17" i="2"/>
  <c r="K17" i="2"/>
  <c r="G16" i="2"/>
  <c r="K16" i="2"/>
  <c r="AO33" i="2" l="1"/>
  <c r="AP11" i="2"/>
  <c r="AQ19" i="2"/>
  <c r="AP23" i="2"/>
  <c r="V54" i="2"/>
  <c r="AI18" i="2"/>
  <c r="AI34" i="2" s="1"/>
  <c r="AI37" i="2"/>
  <c r="AK32" i="2"/>
  <c r="AK37" i="2"/>
  <c r="AH18" i="2"/>
  <c r="AH34" i="2" s="1"/>
  <c r="AH37" i="2"/>
  <c r="AM16" i="2"/>
  <c r="AN16" i="2" s="1"/>
  <c r="AO16" i="2" s="1"/>
  <c r="AL37" i="2"/>
  <c r="AO23" i="2"/>
  <c r="AL47" i="2"/>
  <c r="AO18" i="2"/>
  <c r="AD24" i="2"/>
  <c r="AD26" i="2" s="1"/>
  <c r="AD28" i="2" s="1"/>
  <c r="AD29" i="2" s="1"/>
  <c r="AD34" i="2"/>
  <c r="AE32" i="2"/>
  <c r="AD32" i="2"/>
  <c r="AC24" i="2"/>
  <c r="AN23" i="2"/>
  <c r="AF32" i="2"/>
  <c r="AE24" i="2"/>
  <c r="D24" i="2"/>
  <c r="G18" i="2"/>
  <c r="G34" i="2" s="1"/>
  <c r="AJ32" i="2"/>
  <c r="AG32" i="2"/>
  <c r="AG34" i="2"/>
  <c r="AG24" i="2"/>
  <c r="AN32" i="2"/>
  <c r="AH32" i="2"/>
  <c r="AI32" i="2"/>
  <c r="AM23" i="2"/>
  <c r="AF24" i="2"/>
  <c r="F24" i="2"/>
  <c r="AL54" i="2"/>
  <c r="V47" i="2"/>
  <c r="E24" i="2"/>
  <c r="AJ18" i="2"/>
  <c r="AL32" i="2"/>
  <c r="AK18" i="2"/>
  <c r="J32" i="2"/>
  <c r="I32" i="2"/>
  <c r="H32" i="2"/>
  <c r="AL18" i="2"/>
  <c r="J24" i="2"/>
  <c r="I24" i="2"/>
  <c r="H24" i="2"/>
  <c r="K32" i="2"/>
  <c r="K18" i="2"/>
  <c r="K24" i="2" s="1"/>
  <c r="K26" i="2" s="1"/>
  <c r="K28" i="2" s="1"/>
  <c r="K29" i="2" s="1"/>
  <c r="AR19" i="2" l="1"/>
  <c r="AQ23" i="2"/>
  <c r="AO32" i="2"/>
  <c r="AP16" i="2"/>
  <c r="AQ11" i="2"/>
  <c r="AP33" i="2"/>
  <c r="AN18" i="2"/>
  <c r="AI24" i="2"/>
  <c r="AH24" i="2"/>
  <c r="AM32" i="2"/>
  <c r="AM18" i="2"/>
  <c r="AE26" i="2"/>
  <c r="AE28" i="2" s="1"/>
  <c r="AE29" i="2" s="1"/>
  <c r="AE35" i="2"/>
  <c r="AC26" i="2"/>
  <c r="AC28" i="2" s="1"/>
  <c r="AC29" i="2" s="1"/>
  <c r="AC35" i="2"/>
  <c r="AO34" i="2"/>
  <c r="AO24" i="2"/>
  <c r="AD35" i="2"/>
  <c r="AF26" i="2"/>
  <c r="AF28" i="2" s="1"/>
  <c r="AF29" i="2" s="1"/>
  <c r="AF35" i="2"/>
  <c r="G24" i="2"/>
  <c r="G26" i="2" s="1"/>
  <c r="G28" i="2" s="1"/>
  <c r="G29" i="2" s="1"/>
  <c r="AI26" i="2"/>
  <c r="AI28" i="2" s="1"/>
  <c r="AI29" i="2" s="1"/>
  <c r="AI35" i="2"/>
  <c r="AN24" i="2"/>
  <c r="AN34" i="2"/>
  <c r="AG35" i="2"/>
  <c r="AG26" i="2"/>
  <c r="AG28" i="2" s="1"/>
  <c r="AG29" i="2" s="1"/>
  <c r="AH26" i="2"/>
  <c r="AH28" i="2" s="1"/>
  <c r="AH29" i="2" s="1"/>
  <c r="AH35" i="2"/>
  <c r="AK34" i="2"/>
  <c r="AK24" i="2"/>
  <c r="AL34" i="2"/>
  <c r="AL24" i="2"/>
  <c r="AJ34" i="2"/>
  <c r="AJ24" i="2"/>
  <c r="K34" i="2"/>
  <c r="AR11" i="2" l="1"/>
  <c r="AQ33" i="2"/>
  <c r="AP32" i="2"/>
  <c r="AQ16" i="2"/>
  <c r="AP18" i="2"/>
  <c r="AP24" i="2" s="1"/>
  <c r="AS19" i="2"/>
  <c r="AR23" i="2"/>
  <c r="AM34" i="2"/>
  <c r="AM24" i="2"/>
  <c r="AO35" i="2"/>
  <c r="AN35" i="2"/>
  <c r="AN26" i="2"/>
  <c r="AN27" i="2" s="1"/>
  <c r="AJ26" i="2"/>
  <c r="AJ28" i="2" s="1"/>
  <c r="AJ29" i="2" s="1"/>
  <c r="AJ35" i="2"/>
  <c r="AK35" i="2"/>
  <c r="AK26" i="2"/>
  <c r="AK28" i="2" s="1"/>
  <c r="AK29" i="2" s="1"/>
  <c r="AL26" i="2"/>
  <c r="AL28" i="2" s="1"/>
  <c r="AL35" i="2"/>
  <c r="AT19" i="2" l="1"/>
  <c r="AT23" i="2" s="1"/>
  <c r="AS23" i="2"/>
  <c r="AQ32" i="2"/>
  <c r="AR16" i="2"/>
  <c r="AQ18" i="2"/>
  <c r="AQ24" i="2" s="1"/>
  <c r="AS11" i="2"/>
  <c r="AR33" i="2"/>
  <c r="AM35" i="2"/>
  <c r="AM26" i="2"/>
  <c r="AM27" i="2" s="1"/>
  <c r="AM28" i="2" s="1"/>
  <c r="AN28" i="2"/>
  <c r="AL56" i="2"/>
  <c r="AL29" i="2"/>
  <c r="AT11" i="2" l="1"/>
  <c r="AT33" i="2" s="1"/>
  <c r="AS33" i="2"/>
  <c r="AM29" i="2"/>
  <c r="AM39" i="2"/>
  <c r="AN39" i="2" s="1"/>
  <c r="AO25" i="2" s="1"/>
  <c r="AO26" i="2" s="1"/>
  <c r="AO27" i="2" s="1"/>
  <c r="AO28" i="2" s="1"/>
  <c r="AO39" i="2" s="1"/>
  <c r="AR32" i="2"/>
  <c r="AS16" i="2"/>
  <c r="AR18" i="2"/>
  <c r="AR24" i="2" s="1"/>
  <c r="AP25" i="2"/>
  <c r="AP26" i="2" s="1"/>
  <c r="AP27" i="2" s="1"/>
  <c r="AP28" i="2" s="1"/>
  <c r="AP29" i="2" s="1"/>
  <c r="AM36" i="2"/>
  <c r="AO36" i="2"/>
  <c r="AO29" i="2"/>
  <c r="AN36" i="2"/>
  <c r="AN29" i="2"/>
  <c r="AP39" i="2" l="1"/>
  <c r="AT16" i="2"/>
  <c r="AS18" i="2"/>
  <c r="AS24" i="2" s="1"/>
  <c r="AS32" i="2"/>
  <c r="AQ25" i="2"/>
  <c r="AQ26" i="2" s="1"/>
  <c r="AQ27" i="2" s="1"/>
  <c r="AQ28" i="2" s="1"/>
  <c r="AQ29" i="2" s="1"/>
  <c r="AQ39" i="2" l="1"/>
  <c r="AR25" i="2" s="1"/>
  <c r="AR26" i="2" s="1"/>
  <c r="AR27" i="2" s="1"/>
  <c r="AR28" i="2" s="1"/>
  <c r="AR29" i="2" s="1"/>
  <c r="AT32" i="2"/>
  <c r="AT18" i="2"/>
  <c r="AT24" i="2" s="1"/>
  <c r="AR39" i="2" l="1"/>
  <c r="AS25" i="2"/>
  <c r="AS26" i="2" s="1"/>
  <c r="AS27" i="2" s="1"/>
  <c r="AS28" i="2" s="1"/>
  <c r="AS29" i="2" s="1"/>
  <c r="AS39" i="2"/>
  <c r="AT25" i="2" s="1"/>
  <c r="AT26" i="2" s="1"/>
  <c r="AT27" i="2" s="1"/>
  <c r="AT28" i="2" s="1"/>
  <c r="AU28" i="2" s="1"/>
  <c r="AV28" i="2" s="1"/>
  <c r="AW28" i="2" s="1"/>
  <c r="AX28" i="2" s="1"/>
  <c r="AY28" i="2" s="1"/>
  <c r="AZ28" i="2" s="1"/>
  <c r="BA28" i="2" s="1"/>
  <c r="BB28" i="2" s="1"/>
  <c r="BC28" i="2" s="1"/>
  <c r="BD28" i="2" s="1"/>
  <c r="BE28" i="2" s="1"/>
  <c r="BF28" i="2" s="1"/>
  <c r="BG28" i="2" s="1"/>
  <c r="BH28" i="2" s="1"/>
  <c r="BI28" i="2" s="1"/>
  <c r="BJ28" i="2" s="1"/>
  <c r="BK28" i="2" s="1"/>
  <c r="BL28" i="2" s="1"/>
  <c r="BM28" i="2" s="1"/>
  <c r="BN28" i="2" s="1"/>
  <c r="BO28" i="2" s="1"/>
  <c r="BP28" i="2" s="1"/>
  <c r="BQ28" i="2" s="1"/>
  <c r="BR28" i="2" s="1"/>
  <c r="BS28" i="2" s="1"/>
  <c r="BT28" i="2" s="1"/>
  <c r="BU28" i="2" s="1"/>
  <c r="BV28" i="2" s="1"/>
  <c r="BW28" i="2" s="1"/>
  <c r="BX28" i="2" s="1"/>
  <c r="BY28" i="2" s="1"/>
  <c r="BZ28" i="2" s="1"/>
  <c r="CA28" i="2" s="1"/>
  <c r="CB28" i="2" s="1"/>
  <c r="CC28" i="2" s="1"/>
  <c r="CD28" i="2" s="1"/>
  <c r="CE28" i="2" s="1"/>
  <c r="CF28" i="2" s="1"/>
  <c r="CG28" i="2" s="1"/>
  <c r="CH28" i="2" s="1"/>
  <c r="CI28" i="2" s="1"/>
  <c r="CJ28" i="2" s="1"/>
  <c r="CK28" i="2" s="1"/>
  <c r="CL28" i="2" s="1"/>
  <c r="CM28" i="2" s="1"/>
  <c r="CN28" i="2" s="1"/>
  <c r="CO28" i="2" s="1"/>
  <c r="CP28" i="2" s="1"/>
  <c r="CQ28" i="2" s="1"/>
  <c r="CR28" i="2" s="1"/>
  <c r="CS28" i="2" s="1"/>
  <c r="CT28" i="2" s="1"/>
  <c r="CU28" i="2" s="1"/>
  <c r="CV28" i="2" s="1"/>
  <c r="CW28" i="2" s="1"/>
  <c r="CX28" i="2" s="1"/>
  <c r="CY28" i="2" s="1"/>
  <c r="CZ28" i="2" s="1"/>
  <c r="DA28" i="2" s="1"/>
  <c r="DB28" i="2" s="1"/>
  <c r="DC28" i="2" s="1"/>
  <c r="DD28" i="2" s="1"/>
  <c r="DE28" i="2" s="1"/>
  <c r="DF28" i="2" s="1"/>
  <c r="DG28" i="2" s="1"/>
  <c r="DH28" i="2" s="1"/>
  <c r="DI28" i="2" s="1"/>
  <c r="DJ28" i="2" s="1"/>
  <c r="DK28" i="2" s="1"/>
  <c r="DL28" i="2" s="1"/>
  <c r="DM28" i="2" s="1"/>
  <c r="DN28" i="2" s="1"/>
  <c r="DO28" i="2" s="1"/>
  <c r="DP28" i="2" s="1"/>
  <c r="DQ28" i="2" s="1"/>
  <c r="DR28" i="2" s="1"/>
  <c r="DS28" i="2" s="1"/>
  <c r="DT28" i="2" s="1"/>
  <c r="DU28" i="2" s="1"/>
  <c r="DV28" i="2" s="1"/>
  <c r="DW28" i="2" s="1"/>
  <c r="DX28" i="2" s="1"/>
  <c r="DY28" i="2" s="1"/>
  <c r="DZ28" i="2" s="1"/>
  <c r="EA28" i="2" s="1"/>
  <c r="EB28" i="2" s="1"/>
  <c r="EC28" i="2" s="1"/>
  <c r="ED28" i="2" s="1"/>
  <c r="EE28" i="2" s="1"/>
  <c r="EF28" i="2" s="1"/>
  <c r="EG28" i="2" s="1"/>
  <c r="EH28" i="2" s="1"/>
  <c r="EI28" i="2" s="1"/>
  <c r="EJ28" i="2" s="1"/>
  <c r="EK28" i="2" s="1"/>
  <c r="EL28" i="2" s="1"/>
  <c r="EM28" i="2" s="1"/>
  <c r="EN28" i="2" s="1"/>
  <c r="AT39" i="2" l="1"/>
  <c r="AT29" i="2"/>
  <c r="AX35" i="2"/>
  <c r="AX36" i="2" s="1"/>
</calcChain>
</file>

<file path=xl/sharedStrings.xml><?xml version="1.0" encoding="utf-8"?>
<sst xmlns="http://schemas.openxmlformats.org/spreadsheetml/2006/main" count="104" uniqueCount="97">
  <si>
    <t>Price</t>
  </si>
  <si>
    <t>Shares</t>
  </si>
  <si>
    <t>MC</t>
  </si>
  <si>
    <t>Cash</t>
  </si>
  <si>
    <t>Debt</t>
  </si>
  <si>
    <t>EV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</si>
  <si>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</si>
  <si>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</si>
  <si>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</si>
  <si>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</si>
  <si>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</si>
  <si>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</si>
  <si>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</si>
  <si>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</si>
  <si>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</si>
  <si>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</si>
  <si>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</si>
  <si>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</si>
  <si>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</si>
  <si>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Subscription</t>
  </si>
  <si>
    <t>Merchant</t>
  </si>
  <si>
    <t>Gross Margin</t>
  </si>
  <si>
    <t>COGS</t>
  </si>
  <si>
    <t>Operating Income</t>
  </si>
  <si>
    <t>Operating Expenses</t>
  </si>
  <si>
    <t>Transaction/Loan Losses</t>
  </si>
  <si>
    <t>G&amp;A</t>
  </si>
  <si>
    <t>R&amp;D</t>
  </si>
  <si>
    <t>S&amp;M</t>
  </si>
  <si>
    <t>Main</t>
  </si>
  <si>
    <t>Interest</t>
  </si>
  <si>
    <t>Net Income</t>
  </si>
  <si>
    <t>Taxes</t>
  </si>
  <si>
    <t>Pretax</t>
  </si>
  <si>
    <t>EPS</t>
  </si>
  <si>
    <t>Revenue Growth</t>
  </si>
  <si>
    <t>GMV</t>
  </si>
  <si>
    <t>GMV Growth</t>
  </si>
  <si>
    <t>President</t>
  </si>
  <si>
    <t>Harley Finkelstein</t>
  </si>
  <si>
    <t>CFO: Jeff Hoffmeister</t>
  </si>
  <si>
    <t>Q424</t>
  </si>
  <si>
    <t>Q123</t>
  </si>
  <si>
    <t>Q223</t>
  </si>
  <si>
    <t>Q323</t>
  </si>
  <si>
    <t>Q423</t>
  </si>
  <si>
    <t>Q124</t>
  </si>
  <si>
    <t>Q224</t>
  </si>
  <si>
    <t>Q324</t>
  </si>
  <si>
    <t>AR</t>
  </si>
  <si>
    <t>DT+Other</t>
  </si>
  <si>
    <t>Assets</t>
  </si>
  <si>
    <t>Goodwill</t>
  </si>
  <si>
    <t>Leases</t>
  </si>
  <si>
    <t>PP&amp;E</t>
  </si>
  <si>
    <t>Loans</t>
  </si>
  <si>
    <t>OCA</t>
  </si>
  <si>
    <t>L+SE</t>
  </si>
  <si>
    <t>SE</t>
  </si>
  <si>
    <t>Lease</t>
  </si>
  <si>
    <t>DR</t>
  </si>
  <si>
    <t>AP+DT</t>
  </si>
  <si>
    <t>Operating Margin</t>
  </si>
  <si>
    <t>Model NI</t>
  </si>
  <si>
    <t>Reported NI</t>
  </si>
  <si>
    <t>CFFO</t>
  </si>
  <si>
    <t>WC</t>
  </si>
  <si>
    <t>Investments</t>
  </si>
  <si>
    <t>Amortization</t>
  </si>
  <si>
    <t>SBC</t>
  </si>
  <si>
    <t>Transaction losses</t>
  </si>
  <si>
    <t>Non-cash revenue</t>
  </si>
  <si>
    <t>DT</t>
  </si>
  <si>
    <t>Equity method investment</t>
  </si>
  <si>
    <t>FX</t>
  </si>
  <si>
    <t>CapEx</t>
  </si>
  <si>
    <t>FCF</t>
  </si>
  <si>
    <t>MRR</t>
  </si>
  <si>
    <t>Net Income y/y</t>
  </si>
  <si>
    <t>Take Rate</t>
  </si>
  <si>
    <t>AMZN 3P Revenue</t>
  </si>
  <si>
    <t>AMZN Online</t>
  </si>
  <si>
    <t>eBay GMV</t>
  </si>
  <si>
    <t>Global ecommerce GMV</t>
  </si>
  <si>
    <t>PayPal GMV</t>
  </si>
  <si>
    <t>Walmart Online</t>
  </si>
  <si>
    <t>Alibaba Revenue</t>
  </si>
  <si>
    <t>Maturity</t>
  </si>
  <si>
    <t>Discount</t>
  </si>
  <si>
    <t>ROIC</t>
  </si>
  <si>
    <t>NPV</t>
  </si>
  <si>
    <t>Share</t>
  </si>
  <si>
    <t>Q125</t>
  </si>
  <si>
    <t>Q225</t>
  </si>
  <si>
    <t>Q325</t>
  </si>
  <si>
    <t>Q425</t>
  </si>
  <si>
    <t>Founded: 2004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</si>
</sst>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9" fontId="0" fillId="0" borderId="0" xfId="0" applyNumberFormat="1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0" fontId="2" fillId="0" borderId="0" xfId="1"/>
    <xf numFmtId="4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/>
    <xf numFmtId="9" fontId="1" fillId="0" borderId="0" xfId="0" applyNumberFormat="1" applyFont="1"/>
    <xf numFmtId="9" fontId="0" fillId="0" borderId="0" xfId="0" applyNumberFormat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17859</xdr:colOff>
      <xdr:row>0</xdr:row>
      <xdr:rowOff>53578</xdr:rowOff>
    </xdr:from>
    <xdr:to>
      <xdr:col>38</xdr:col>
      <xdr:colOff>17859</xdr:colOff>
      <xdr:row>55</xdr:row>
      <xdr:rowOff>139211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F8D5CC3-7D6A-87C6-14CD-17137CF82A0D}"/>
            </a:ext>
          </a:extLst>
        </xdr:cNvPr>
        <xdr:cNvCxnSpPr/>
      </xdr:nvCxnSpPr>
      <xdr:spPr>
        <a:xfrm>
          <a:off x="21295244" y="53578"/>
          <a:ext cx="0" cy="895121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A80C4-A7CE-4B42-AFAE-715A1FF31F95}">
  <dimension ref="L2:N11"/>
  <sheetViews>
    <sheetView zoomScale="130" zoomScaleNormal="130" workbookViewId="0"/>
  </sheetViews>
  <sheetFormatPr defaultRowHeight="12.5" x14ac:dyDescent="0.25"/>
  <sheetData>
    <row r="2" spans="12:14" x14ac:dyDescent="0.25">
      <c r="L2" t="s">
        <v>0</v>
      </c>
      <c r="M2" s="1">
        <v>152</v>
      </c>
    </row>
    <row r="3" spans="12:14" x14ac:dyDescent="0.25">
      <c r="L3" t="s">
        <v>1</v>
      </c>
      <c r="M3" s="4">
        <f>1215.528049+79.292685</f>
        <v>1294.8207339999999</v>
      </c>
      <c r="N3" s="2" t="s">
        <v>41</v>
      </c>
    </row>
    <row r="4" spans="12:14" ht="13" x14ac:dyDescent="0.3">
      <c r="L4" s="12" t="s">
        <v>2</v>
      </c>
      <c r="M4" s="8">
        <f>+M2*M3</f>
        <v>196812.75156799998</v>
      </c>
    </row>
    <row r="5" spans="12:14" x14ac:dyDescent="0.25">
      <c r="L5" t="s">
        <v>3</v>
      </c>
      <c r="M5" s="4">
        <v>11477</v>
      </c>
      <c r="N5" s="2" t="s">
        <v>41</v>
      </c>
    </row>
    <row r="6" spans="12:14" x14ac:dyDescent="0.25">
      <c r="L6" t="s">
        <v>4</v>
      </c>
      <c r="M6" s="4">
        <v>918</v>
      </c>
      <c r="N6" s="2" t="s">
        <v>41</v>
      </c>
    </row>
    <row r="7" spans="12:14" x14ac:dyDescent="0.25">
      <c r="L7" t="s">
        <v>5</v>
      </c>
      <c r="M7" s="4">
        <f>+M4-M5+M6</f>
        <v>186253.75156799998</v>
      </c>
    </row>
    <row r="9" spans="12:14" x14ac:dyDescent="0.25">
      <c r="L9" t="s">
        <v>96</v>
      </c>
    </row>
    <row r="10" spans="12:14" x14ac:dyDescent="0.25">
      <c r="L10" t="s">
        <v>38</v>
      </c>
      <c r="M10" t="s">
        <v>39</v>
      </c>
    </row>
    <row r="11" spans="12:14" x14ac:dyDescent="0.25">
      <c r="L11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7CA5C-B670-4C80-9331-D1863A882469}">
  <dimension ref="A1:EN72"/>
  <sheetViews>
    <sheetView tabSelected="1" zoomScale="115" zoomScaleNormal="115" workbookViewId="0">
      <pane xSplit="2" ySplit="2" topLeftCell="N3" activePane="bottomRight" state="frozen"/>
      <selection pane="topRight" activeCell="C1" sqref="C1"/>
      <selection pane="bottomLeft" activeCell="A3" sqref="A3"/>
      <selection pane="bottomRight" activeCell="W12" sqref="W12"/>
    </sheetView>
  </sheetViews>
  <sheetFormatPr defaultRowHeight="12.5" x14ac:dyDescent="0.25"/>
  <cols>
    <col min="1" max="1" width="5" bestFit="1" customWidth="1"/>
    <col min="2" max="2" width="22.1796875" bestFit="1" customWidth="1"/>
    <col min="3" max="14" width="9.1796875" style="2"/>
    <col min="45" max="46" width="9.6328125" customWidth="1"/>
    <col min="50" max="50" width="10.7265625" bestFit="1" customWidth="1"/>
  </cols>
  <sheetData>
    <row r="1" spans="1:49" x14ac:dyDescent="0.25">
      <c r="A1" s="6" t="s">
        <v>29</v>
      </c>
    </row>
    <row r="2" spans="1:49" x14ac:dyDescent="0.25"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2" t="s">
        <v>15</v>
      </c>
      <c r="L2" s="2" t="s">
        <v>16</v>
      </c>
      <c r="M2" s="2" t="s">
        <v>17</v>
      </c>
      <c r="N2" s="2" t="s">
        <v>18</v>
      </c>
      <c r="O2" s="2" t="s">
        <v>42</v>
      </c>
      <c r="P2" s="2" t="s">
        <v>43</v>
      </c>
      <c r="Q2" s="2" t="s">
        <v>44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41</v>
      </c>
      <c r="W2" s="2" t="s">
        <v>92</v>
      </c>
      <c r="X2" s="2" t="s">
        <v>93</v>
      </c>
      <c r="Y2" s="2" t="s">
        <v>94</v>
      </c>
      <c r="Z2" s="2" t="s">
        <v>95</v>
      </c>
      <c r="AC2">
        <v>2015</v>
      </c>
      <c r="AD2">
        <v>2016</v>
      </c>
      <c r="AE2">
        <v>2017</v>
      </c>
      <c r="AF2">
        <v>2018</v>
      </c>
      <c r="AG2">
        <v>2019</v>
      </c>
      <c r="AH2">
        <v>2020</v>
      </c>
      <c r="AI2">
        <f t="shared" ref="AI2:AW2" si="0">+AH2+1</f>
        <v>2021</v>
      </c>
      <c r="AJ2">
        <f t="shared" si="0"/>
        <v>2022</v>
      </c>
      <c r="AK2">
        <f t="shared" si="0"/>
        <v>2023</v>
      </c>
      <c r="AL2">
        <f t="shared" si="0"/>
        <v>2024</v>
      </c>
      <c r="AM2">
        <f t="shared" si="0"/>
        <v>2025</v>
      </c>
      <c r="AN2">
        <f t="shared" si="0"/>
        <v>2026</v>
      </c>
      <c r="AO2">
        <f t="shared" si="0"/>
        <v>2027</v>
      </c>
      <c r="AP2">
        <f t="shared" si="0"/>
        <v>2028</v>
      </c>
      <c r="AQ2">
        <f t="shared" si="0"/>
        <v>2029</v>
      </c>
      <c r="AR2">
        <f t="shared" si="0"/>
        <v>2030</v>
      </c>
      <c r="AS2">
        <f t="shared" si="0"/>
        <v>2031</v>
      </c>
      <c r="AT2">
        <f t="shared" si="0"/>
        <v>2032</v>
      </c>
      <c r="AU2">
        <f t="shared" si="0"/>
        <v>2033</v>
      </c>
      <c r="AV2">
        <f t="shared" si="0"/>
        <v>2034</v>
      </c>
      <c r="AW2">
        <f t="shared" si="0"/>
        <v>2035</v>
      </c>
    </row>
    <row r="3" spans="1:49" s="12" customFormat="1" ht="13" x14ac:dyDescent="0.3">
      <c r="B3" s="12" t="s">
        <v>83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J3" s="8">
        <f>+AJ4+AJ5+AJ6+AJ11+AJ8+AJ7</f>
        <v>1084452.67</v>
      </c>
      <c r="AK3" s="8">
        <f>+AK4+AK5+AK6+AK11+AK8+AK7</f>
        <v>1224422.9099999999</v>
      </c>
      <c r="AL3" s="8">
        <f>+AL4+AL5+AL6+AL11+AL8+AL7</f>
        <v>1361772.28</v>
      </c>
    </row>
    <row r="4" spans="1:49" x14ac:dyDescent="0.25">
      <c r="B4" t="s">
        <v>80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J4" s="4">
        <v>117716</v>
      </c>
      <c r="AK4" s="4">
        <v>140053</v>
      </c>
      <c r="AL4" s="4">
        <v>156146</v>
      </c>
    </row>
    <row r="5" spans="1:49" x14ac:dyDescent="0.25">
      <c r="B5" t="s">
        <v>81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J5" s="4">
        <v>220004</v>
      </c>
      <c r="AK5" s="4">
        <v>231872</v>
      </c>
      <c r="AL5" s="4">
        <v>247029</v>
      </c>
    </row>
    <row r="6" spans="1:49" x14ac:dyDescent="0.25">
      <c r="B6" t="s">
        <v>82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J6" s="4">
        <v>73900</v>
      </c>
      <c r="AK6" s="4">
        <v>73200</v>
      </c>
      <c r="AL6" s="4">
        <v>74700</v>
      </c>
    </row>
    <row r="7" spans="1:49" x14ac:dyDescent="0.25">
      <c r="B7" t="s">
        <v>85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J7" s="4">
        <f>53400+20300+8400</f>
        <v>82100</v>
      </c>
      <c r="AK7" s="4">
        <f>65400+24800+9900</f>
        <v>100100</v>
      </c>
      <c r="AL7" s="4">
        <f>79300+29500+12100</f>
        <v>120900</v>
      </c>
    </row>
    <row r="8" spans="1:49" x14ac:dyDescent="0.25">
      <c r="B8" t="s">
        <v>84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J8" s="4">
        <f>1357123*0.29</f>
        <v>393565.67</v>
      </c>
      <c r="AK8" s="4">
        <f>1528579*0.29</f>
        <v>443287.91</v>
      </c>
      <c r="AL8" s="4">
        <f>1681151*0.28</f>
        <v>470722.28</v>
      </c>
    </row>
    <row r="9" spans="1:49" x14ac:dyDescent="0.25">
      <c r="B9" t="s">
        <v>86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J9" s="4"/>
      <c r="AK9" s="4"/>
      <c r="AL9" s="4">
        <v>130000</v>
      </c>
    </row>
    <row r="10" spans="1:49" x14ac:dyDescent="0.25"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49" s="8" customFormat="1" ht="13" x14ac:dyDescent="0.3">
      <c r="B11" s="8" t="s">
        <v>36</v>
      </c>
      <c r="C11" s="9"/>
      <c r="D11" s="9"/>
      <c r="E11" s="9"/>
      <c r="F11" s="9"/>
      <c r="G11" s="9">
        <v>37346.885999999999</v>
      </c>
      <c r="H11" s="9"/>
      <c r="I11" s="9"/>
      <c r="J11" s="9"/>
      <c r="K11" s="9">
        <v>43199.951999999997</v>
      </c>
      <c r="L11" s="9"/>
      <c r="M11" s="9"/>
      <c r="N11" s="8">
        <v>60958</v>
      </c>
      <c r="R11" s="8">
        <v>75125</v>
      </c>
      <c r="S11" s="8">
        <v>60855</v>
      </c>
      <c r="T11" s="8">
        <v>67245</v>
      </c>
      <c r="V11" s="8">
        <v>94460</v>
      </c>
      <c r="W11" s="8">
        <v>74750</v>
      </c>
      <c r="X11" s="8">
        <v>87837</v>
      </c>
      <c r="AH11" s="8">
        <v>85800</v>
      </c>
      <c r="AI11" s="8">
        <v>175361.81400000001</v>
      </c>
      <c r="AJ11" s="8">
        <v>197167</v>
      </c>
      <c r="AK11" s="8">
        <v>235910</v>
      </c>
      <c r="AL11" s="8">
        <v>292275</v>
      </c>
      <c r="AM11" s="8">
        <f>+AL11*1.25</f>
        <v>365343.75</v>
      </c>
      <c r="AN11" s="8">
        <f>+AM11*1.2</f>
        <v>438412.5</v>
      </c>
      <c r="AO11" s="8">
        <f>+AN11*1.2</f>
        <v>526095</v>
      </c>
      <c r="AP11" s="8">
        <f>+AO11*1.2</f>
        <v>631314</v>
      </c>
      <c r="AQ11" s="8">
        <f>+AP11*1.2</f>
        <v>757576.79999999993</v>
      </c>
      <c r="AR11" s="8">
        <f>+AQ11*1.2</f>
        <v>909092.15999999992</v>
      </c>
      <c r="AS11" s="8">
        <f>+AR11*1.1</f>
        <v>1000001.3759999999</v>
      </c>
      <c r="AT11" s="8">
        <f>+AS11*1.1</f>
        <v>1100001.5135999999</v>
      </c>
    </row>
    <row r="12" spans="1:49" x14ac:dyDescent="0.25">
      <c r="B12" t="s">
        <v>77</v>
      </c>
      <c r="S12">
        <v>151</v>
      </c>
      <c r="T12">
        <v>169</v>
      </c>
      <c r="W12">
        <v>182</v>
      </c>
      <c r="X12">
        <v>185</v>
      </c>
      <c r="AK12">
        <v>144</v>
      </c>
      <c r="AL12">
        <v>178</v>
      </c>
    </row>
    <row r="14" spans="1:49" s="4" customFormat="1" x14ac:dyDescent="0.25">
      <c r="B14" s="4" t="s">
        <v>19</v>
      </c>
      <c r="C14" s="5"/>
      <c r="D14" s="5">
        <v>196.434</v>
      </c>
      <c r="E14" s="5">
        <v>245.274</v>
      </c>
      <c r="F14" s="5">
        <v>279.44</v>
      </c>
      <c r="G14" s="5">
        <v>320.68099999999998</v>
      </c>
      <c r="H14" s="5">
        <v>334.23700000000002</v>
      </c>
      <c r="I14" s="5">
        <v>336.20800000000003</v>
      </c>
      <c r="J14" s="5">
        <v>351.20800000000003</v>
      </c>
      <c r="K14" s="5">
        <v>344.76100000000002</v>
      </c>
      <c r="L14" s="5"/>
      <c r="M14" s="5"/>
      <c r="N14" s="5"/>
      <c r="Q14" s="4">
        <v>486</v>
      </c>
      <c r="R14" s="4">
        <v>525</v>
      </c>
      <c r="S14" s="4">
        <v>511</v>
      </c>
      <c r="T14" s="4">
        <v>563</v>
      </c>
      <c r="U14" s="4">
        <v>610</v>
      </c>
      <c r="V14" s="4">
        <v>666</v>
      </c>
      <c r="W14" s="4">
        <v>620</v>
      </c>
      <c r="X14" s="4">
        <v>656</v>
      </c>
      <c r="AC14" s="4">
        <v>111.979</v>
      </c>
      <c r="AD14" s="4">
        <v>188.60599999999999</v>
      </c>
      <c r="AE14" s="4">
        <v>310.03100000000001</v>
      </c>
      <c r="AF14" s="4">
        <v>464.99599999999998</v>
      </c>
      <c r="AG14" s="4">
        <v>642.24099999999999</v>
      </c>
      <c r="AH14" s="4">
        <v>908.75699999999995</v>
      </c>
      <c r="AI14" s="4">
        <v>1342.3340000000001</v>
      </c>
      <c r="AJ14" s="4">
        <v>1488</v>
      </c>
      <c r="AK14" s="4">
        <v>1837</v>
      </c>
      <c r="AL14" s="4">
        <v>2350</v>
      </c>
    </row>
    <row r="15" spans="1:49" s="4" customFormat="1" x14ac:dyDescent="0.25">
      <c r="B15" s="4" t="s">
        <v>20</v>
      </c>
      <c r="C15" s="5"/>
      <c r="D15" s="5">
        <v>517.90700000000004</v>
      </c>
      <c r="E15" s="5">
        <v>522.13099999999997</v>
      </c>
      <c r="F15" s="5">
        <v>698.30399999999997</v>
      </c>
      <c r="G15" s="5">
        <v>667.96600000000001</v>
      </c>
      <c r="H15" s="5">
        <v>785.20799999999997</v>
      </c>
      <c r="I15" s="5">
        <v>787.53200000000004</v>
      </c>
      <c r="J15" s="5">
        <v>1028.816</v>
      </c>
      <c r="K15" s="5">
        <v>858.86199999999997</v>
      </c>
      <c r="L15" s="5"/>
      <c r="M15" s="5"/>
      <c r="N15" s="5"/>
      <c r="Q15" s="4">
        <v>1228</v>
      </c>
      <c r="R15" s="4">
        <v>1619</v>
      </c>
      <c r="S15" s="4">
        <v>1350</v>
      </c>
      <c r="T15" s="4">
        <v>1482</v>
      </c>
      <c r="U15" s="4">
        <v>1552</v>
      </c>
      <c r="V15" s="4">
        <v>2146</v>
      </c>
      <c r="W15" s="4">
        <v>1740</v>
      </c>
      <c r="X15" s="4">
        <v>2024</v>
      </c>
      <c r="AC15" s="4">
        <v>93.254000000000005</v>
      </c>
      <c r="AD15" s="4">
        <v>200.72399999999999</v>
      </c>
      <c r="AE15" s="4">
        <v>363.27300000000002</v>
      </c>
      <c r="AF15" s="4">
        <v>608.23299999999995</v>
      </c>
      <c r="AG15" s="4">
        <v>935.93200000000002</v>
      </c>
      <c r="AH15" s="4">
        <v>2020.7339999999999</v>
      </c>
      <c r="AI15" s="4">
        <v>3269.5219999999999</v>
      </c>
      <c r="AJ15" s="4">
        <v>4112</v>
      </c>
      <c r="AK15" s="4">
        <v>5223</v>
      </c>
      <c r="AL15" s="4">
        <v>6530</v>
      </c>
    </row>
    <row r="16" spans="1:49" s="8" customFormat="1" ht="13" x14ac:dyDescent="0.3">
      <c r="B16" s="8" t="s">
        <v>6</v>
      </c>
      <c r="C16" s="9"/>
      <c r="D16" s="9">
        <f>+D14+D15</f>
        <v>714.34100000000001</v>
      </c>
      <c r="E16" s="9">
        <f>+E14+E15</f>
        <v>767.40499999999997</v>
      </c>
      <c r="F16" s="9">
        <f>+F14+F15</f>
        <v>977.74399999999991</v>
      </c>
      <c r="G16" s="9">
        <f>+G14+G15</f>
        <v>988.64699999999993</v>
      </c>
      <c r="H16" s="9">
        <f t="shared" ref="H16:J16" si="1">+H14+H15</f>
        <v>1119.4449999999999</v>
      </c>
      <c r="I16" s="9">
        <f t="shared" si="1"/>
        <v>1123.74</v>
      </c>
      <c r="J16" s="9">
        <f t="shared" si="1"/>
        <v>1380.0240000000001</v>
      </c>
      <c r="K16" s="9">
        <f>+K14+K15</f>
        <v>1203.623</v>
      </c>
      <c r="L16" s="9"/>
      <c r="M16" s="9"/>
      <c r="N16" s="9"/>
      <c r="Q16" s="8">
        <f>+Q14+Q15</f>
        <v>1714</v>
      </c>
      <c r="R16" s="8">
        <f t="shared" ref="R16:X16" si="2">+R14+R15</f>
        <v>2144</v>
      </c>
      <c r="S16" s="8">
        <f t="shared" si="2"/>
        <v>1861</v>
      </c>
      <c r="T16" s="8">
        <f t="shared" si="2"/>
        <v>2045</v>
      </c>
      <c r="U16" s="8">
        <f t="shared" si="2"/>
        <v>2162</v>
      </c>
      <c r="V16" s="8">
        <f t="shared" si="2"/>
        <v>2812</v>
      </c>
      <c r="W16" s="8">
        <f t="shared" si="2"/>
        <v>2360</v>
      </c>
      <c r="X16" s="8">
        <f t="shared" si="2"/>
        <v>2680</v>
      </c>
      <c r="AC16" s="8">
        <f t="shared" ref="AC16" si="3">+AC14+AC15</f>
        <v>205.233</v>
      </c>
      <c r="AD16" s="8">
        <f t="shared" ref="AD16" si="4">+AD14+AD15</f>
        <v>389.33</v>
      </c>
      <c r="AE16" s="8">
        <f t="shared" ref="AE16:AJ16" si="5">+AE14+AE15</f>
        <v>673.30400000000009</v>
      </c>
      <c r="AF16" s="8">
        <f t="shared" si="5"/>
        <v>1073.2289999999998</v>
      </c>
      <c r="AG16" s="8">
        <f t="shared" si="5"/>
        <v>1578.173</v>
      </c>
      <c r="AH16" s="8">
        <f t="shared" si="5"/>
        <v>2929.491</v>
      </c>
      <c r="AI16" s="8">
        <f t="shared" si="5"/>
        <v>4611.8559999999998</v>
      </c>
      <c r="AJ16" s="8">
        <f t="shared" si="5"/>
        <v>5600</v>
      </c>
      <c r="AK16" s="8">
        <f>+AK14+AK15</f>
        <v>7060</v>
      </c>
      <c r="AL16" s="8">
        <f>+AL14+AL15</f>
        <v>8880</v>
      </c>
      <c r="AM16" s="8">
        <f>+AL16*1.25</f>
        <v>11100</v>
      </c>
      <c r="AN16" s="8">
        <f>+AM16*1.2</f>
        <v>13320</v>
      </c>
      <c r="AO16" s="8">
        <f>+AN16*1.2</f>
        <v>15984</v>
      </c>
      <c r="AP16" s="8">
        <f>+AO16*1.2</f>
        <v>19180.8</v>
      </c>
      <c r="AQ16" s="8">
        <f>+AP16*1.2</f>
        <v>23016.959999999999</v>
      </c>
      <c r="AR16" s="8">
        <f>+AQ16*1.15</f>
        <v>26469.503999999997</v>
      </c>
      <c r="AS16" s="8">
        <f>+AR16*1.1</f>
        <v>29116.454399999999</v>
      </c>
      <c r="AT16" s="8">
        <f>+AS16*1.1</f>
        <v>32028.099840000003</v>
      </c>
    </row>
    <row r="17" spans="2:144" s="4" customFormat="1" x14ac:dyDescent="0.25">
      <c r="B17" s="4" t="s">
        <v>22</v>
      </c>
      <c r="C17" s="5"/>
      <c r="D17" s="5">
        <v>339.30700000000002</v>
      </c>
      <c r="E17" s="5">
        <v>362.25700000000001</v>
      </c>
      <c r="F17" s="5">
        <v>473.35599999999999</v>
      </c>
      <c r="G17" s="5">
        <f>58.382+371.549</f>
        <v>429.93099999999998</v>
      </c>
      <c r="H17" s="5">
        <v>498.58499999999998</v>
      </c>
      <c r="I17" s="5">
        <v>514.83100000000002</v>
      </c>
      <c r="J17" s="5">
        <v>687.36500000000001</v>
      </c>
      <c r="K17" s="5">
        <f>77.545+488.441</f>
        <v>565.98599999999999</v>
      </c>
      <c r="L17" s="5"/>
      <c r="M17" s="5"/>
      <c r="N17" s="5"/>
      <c r="Q17" s="4">
        <v>901</v>
      </c>
      <c r="R17" s="4">
        <v>1062</v>
      </c>
      <c r="S17" s="4">
        <v>957</v>
      </c>
      <c r="T17" s="4">
        <v>1045</v>
      </c>
      <c r="U17" s="4">
        <v>1118</v>
      </c>
      <c r="V17" s="4">
        <v>1352</v>
      </c>
      <c r="W17" s="4">
        <v>1169</v>
      </c>
      <c r="X17" s="4">
        <v>1302</v>
      </c>
      <c r="AC17" s="4">
        <v>91.977999999999994</v>
      </c>
      <c r="AD17" s="4">
        <v>179.83500000000001</v>
      </c>
      <c r="AE17" s="4">
        <v>295.05099999999999</v>
      </c>
      <c r="AF17" s="4">
        <v>476.96199999999999</v>
      </c>
      <c r="AG17" s="4">
        <v>712.53</v>
      </c>
      <c r="AH17" s="4">
        <v>1387.971</v>
      </c>
      <c r="AI17" s="4">
        <v>2130.712</v>
      </c>
      <c r="AJ17" s="4">
        <f>331+2515</f>
        <v>2846</v>
      </c>
      <c r="AK17" s="4">
        <f>354+3191</f>
        <v>3545</v>
      </c>
      <c r="AL17" s="4">
        <f>434+3974</f>
        <v>4408</v>
      </c>
    </row>
    <row r="18" spans="2:144" s="4" customFormat="1" x14ac:dyDescent="0.25">
      <c r="B18" s="4" t="s">
        <v>21</v>
      </c>
      <c r="C18" s="5"/>
      <c r="D18" s="5">
        <f>+D16-D17</f>
        <v>375.03399999999999</v>
      </c>
      <c r="E18" s="5">
        <f>+E16-E17</f>
        <v>405.14799999999997</v>
      </c>
      <c r="F18" s="5">
        <f>+F16-F17</f>
        <v>504.38799999999992</v>
      </c>
      <c r="G18" s="5">
        <f>+G16-G17</f>
        <v>558.71599999999989</v>
      </c>
      <c r="H18" s="5">
        <f t="shared" ref="H18:J18" si="6">+H16-H17</f>
        <v>620.8599999999999</v>
      </c>
      <c r="I18" s="5">
        <f t="shared" si="6"/>
        <v>608.90899999999999</v>
      </c>
      <c r="J18" s="5">
        <f t="shared" si="6"/>
        <v>692.65900000000011</v>
      </c>
      <c r="K18" s="5">
        <f>+K16-K17</f>
        <v>637.63700000000006</v>
      </c>
      <c r="L18" s="5"/>
      <c r="M18" s="5"/>
      <c r="N18" s="5"/>
      <c r="Q18" s="4">
        <f>+Q16-Q17</f>
        <v>813</v>
      </c>
      <c r="R18" s="4">
        <f>+R16-R17</f>
        <v>1082</v>
      </c>
      <c r="S18" s="4">
        <f>+S16-S17</f>
        <v>904</v>
      </c>
      <c r="T18" s="4">
        <f>+T16-T17</f>
        <v>1000</v>
      </c>
      <c r="U18" s="4">
        <f>+U16-U17</f>
        <v>1044</v>
      </c>
      <c r="V18" s="4">
        <f>+V16-V17</f>
        <v>1460</v>
      </c>
      <c r="W18" s="4">
        <f>+W16-W17</f>
        <v>1191</v>
      </c>
      <c r="X18" s="4">
        <f>+X16-X17</f>
        <v>1378</v>
      </c>
      <c r="AC18" s="4">
        <f t="shared" ref="AC18:AD18" si="7">+AC16-AC17</f>
        <v>113.25500000000001</v>
      </c>
      <c r="AD18" s="4">
        <f t="shared" si="7"/>
        <v>209.49499999999998</v>
      </c>
      <c r="AE18" s="4">
        <f t="shared" ref="AE18:AL18" si="8">+AE16-AE17</f>
        <v>378.2530000000001</v>
      </c>
      <c r="AF18" s="4">
        <f t="shared" si="8"/>
        <v>596.26699999999983</v>
      </c>
      <c r="AG18" s="4">
        <f t="shared" si="8"/>
        <v>865.64300000000003</v>
      </c>
      <c r="AH18" s="4">
        <f t="shared" si="8"/>
        <v>1541.52</v>
      </c>
      <c r="AI18" s="4">
        <f t="shared" si="8"/>
        <v>2481.1439999999998</v>
      </c>
      <c r="AJ18" s="4">
        <f t="shared" si="8"/>
        <v>2754</v>
      </c>
      <c r="AK18" s="4">
        <f t="shared" si="8"/>
        <v>3515</v>
      </c>
      <c r="AL18" s="4">
        <f t="shared" si="8"/>
        <v>4472</v>
      </c>
      <c r="AM18" s="4">
        <f>+AM16*0.5</f>
        <v>5550</v>
      </c>
      <c r="AN18" s="4">
        <f>+AN16*0.5</f>
        <v>6660</v>
      </c>
      <c r="AO18" s="4">
        <f t="shared" ref="AO18:AR18" si="9">+AO16*0.5</f>
        <v>7992</v>
      </c>
      <c r="AP18" s="4">
        <f t="shared" si="9"/>
        <v>9590.4</v>
      </c>
      <c r="AQ18" s="4">
        <f t="shared" si="9"/>
        <v>11508.48</v>
      </c>
      <c r="AR18" s="4">
        <f t="shared" si="9"/>
        <v>13234.751999999999</v>
      </c>
      <c r="AS18" s="4">
        <f t="shared" ref="AS18:AT18" si="10">+AS16*0.5</f>
        <v>14558.227199999999</v>
      </c>
      <c r="AT18" s="4">
        <f t="shared" si="10"/>
        <v>16014.049920000001</v>
      </c>
    </row>
    <row r="19" spans="2:144" s="4" customFormat="1" x14ac:dyDescent="0.25">
      <c r="B19" s="4" t="s">
        <v>28</v>
      </c>
      <c r="C19" s="5"/>
      <c r="D19" s="5">
        <v>144.85</v>
      </c>
      <c r="E19" s="5">
        <v>147.608</v>
      </c>
      <c r="F19" s="5">
        <v>154.72800000000001</v>
      </c>
      <c r="G19" s="5">
        <v>186.22300000000001</v>
      </c>
      <c r="H19" s="5">
        <v>201.91</v>
      </c>
      <c r="I19" s="5">
        <v>237.94900000000001</v>
      </c>
      <c r="J19" s="5">
        <v>275.47500000000002</v>
      </c>
      <c r="K19" s="5">
        <v>303.37099999999998</v>
      </c>
      <c r="L19" s="5"/>
      <c r="M19" s="5"/>
      <c r="N19" s="5"/>
      <c r="Q19" s="4">
        <v>295</v>
      </c>
      <c r="R19" s="4">
        <v>317</v>
      </c>
      <c r="S19" s="4">
        <v>361</v>
      </c>
      <c r="T19" s="4">
        <v>353</v>
      </c>
      <c r="U19" s="4">
        <v>331</v>
      </c>
      <c r="V19" s="4">
        <v>348</v>
      </c>
      <c r="W19" s="4">
        <v>405</v>
      </c>
      <c r="X19" s="4">
        <v>415</v>
      </c>
      <c r="AC19" s="4">
        <v>70.373999999999995</v>
      </c>
      <c r="AD19" s="4">
        <v>129.214</v>
      </c>
      <c r="AE19" s="4">
        <v>225.69399999999999</v>
      </c>
      <c r="AF19" s="4">
        <v>350.06900000000002</v>
      </c>
      <c r="AG19" s="4">
        <v>472.84100000000001</v>
      </c>
      <c r="AH19" s="4">
        <v>602.048</v>
      </c>
      <c r="AI19" s="4">
        <v>901.55700000000002</v>
      </c>
      <c r="AJ19" s="4">
        <v>1230</v>
      </c>
      <c r="AK19" s="4">
        <v>1220</v>
      </c>
      <c r="AL19" s="4">
        <v>1393</v>
      </c>
      <c r="AM19" s="4">
        <f>+AL19*1.03</f>
        <v>1434.79</v>
      </c>
      <c r="AN19" s="4">
        <f>+AM19*1.1</f>
        <v>1578.269</v>
      </c>
      <c r="AO19" s="4">
        <f t="shared" ref="AO19:AP22" si="11">+AN19*1.1</f>
        <v>1736.0959000000003</v>
      </c>
      <c r="AP19" s="4">
        <f t="shared" si="11"/>
        <v>1909.7054900000005</v>
      </c>
      <c r="AQ19" s="4">
        <f>+AP19*1.03</f>
        <v>1966.9966547000006</v>
      </c>
      <c r="AR19" s="4">
        <f t="shared" ref="AR19:AT19" si="12">+AQ19*1.03</f>
        <v>2026.0065543410008</v>
      </c>
      <c r="AS19" s="4">
        <f t="shared" si="12"/>
        <v>2086.786750971231</v>
      </c>
      <c r="AT19" s="4">
        <f t="shared" si="12"/>
        <v>2149.3903535003678</v>
      </c>
    </row>
    <row r="20" spans="2:144" s="4" customFormat="1" x14ac:dyDescent="0.25">
      <c r="B20" s="4" t="s">
        <v>27</v>
      </c>
      <c r="C20" s="5"/>
      <c r="D20" s="5">
        <v>133.227</v>
      </c>
      <c r="E20" s="5">
        <v>143.42699999999999</v>
      </c>
      <c r="F20" s="5">
        <v>159.077</v>
      </c>
      <c r="G20" s="5">
        <v>175.886</v>
      </c>
      <c r="H20" s="5">
        <v>183.55699999999999</v>
      </c>
      <c r="I20" s="5">
        <v>221.02799999999999</v>
      </c>
      <c r="J20" s="5">
        <v>273.47500000000002</v>
      </c>
      <c r="K20" s="5">
        <v>303.661</v>
      </c>
      <c r="L20" s="5"/>
      <c r="M20" s="5"/>
      <c r="N20" s="5"/>
      <c r="Q20" s="4">
        <v>313</v>
      </c>
      <c r="R20" s="4">
        <v>311</v>
      </c>
      <c r="S20" s="4">
        <v>335</v>
      </c>
      <c r="T20" s="4">
        <v>349</v>
      </c>
      <c r="U20" s="4">
        <v>332</v>
      </c>
      <c r="V20" s="4">
        <v>351</v>
      </c>
      <c r="W20" s="4">
        <v>377</v>
      </c>
      <c r="X20" s="4">
        <v>394</v>
      </c>
      <c r="AC20" s="4">
        <v>39.722000000000001</v>
      </c>
      <c r="AD20" s="4">
        <v>74.335999999999999</v>
      </c>
      <c r="AE20" s="4">
        <v>135.99700000000001</v>
      </c>
      <c r="AF20" s="4">
        <v>230.67400000000001</v>
      </c>
      <c r="AG20" s="4">
        <v>355.01499999999999</v>
      </c>
      <c r="AH20" s="4">
        <v>552.12699999999995</v>
      </c>
      <c r="AI20" s="4">
        <v>854.38300000000004</v>
      </c>
      <c r="AJ20" s="4">
        <v>1503</v>
      </c>
      <c r="AK20" s="4">
        <v>1730</v>
      </c>
      <c r="AL20" s="4">
        <v>1367</v>
      </c>
      <c r="AM20" s="4">
        <f>+AL20*1.03</f>
        <v>1408.01</v>
      </c>
      <c r="AN20" s="4">
        <f>+AM20*1.1</f>
        <v>1548.8110000000001</v>
      </c>
      <c r="AO20" s="4">
        <f t="shared" si="11"/>
        <v>1703.6921000000002</v>
      </c>
      <c r="AP20" s="4">
        <f t="shared" si="11"/>
        <v>1874.0613100000003</v>
      </c>
      <c r="AQ20" s="4">
        <f t="shared" ref="AQ20:AT20" si="13">+AP20*1.03</f>
        <v>1930.2831493000003</v>
      </c>
      <c r="AR20" s="4">
        <f t="shared" si="13"/>
        <v>1988.1916437790003</v>
      </c>
      <c r="AS20" s="4">
        <f t="shared" si="13"/>
        <v>2047.8373930923703</v>
      </c>
      <c r="AT20" s="4">
        <f t="shared" si="13"/>
        <v>2109.2725148851414</v>
      </c>
    </row>
    <row r="21" spans="2:144" s="4" customFormat="1" x14ac:dyDescent="0.25">
      <c r="B21" s="4" t="s">
        <v>26</v>
      </c>
      <c r="C21" s="5"/>
      <c r="D21" s="5">
        <v>83.307000000000002</v>
      </c>
      <c r="E21" s="5">
        <v>51.798999999999999</v>
      </c>
      <c r="F21" s="5">
        <v>65.394999999999996</v>
      </c>
      <c r="G21" s="5">
        <v>67.102000000000004</v>
      </c>
      <c r="H21" s="5">
        <v>77.965999999999994</v>
      </c>
      <c r="I21" s="5">
        <v>128.72200000000001</v>
      </c>
      <c r="J21" s="5">
        <v>101.054</v>
      </c>
      <c r="K21" s="5">
        <v>108.08799999999999</v>
      </c>
      <c r="L21" s="5"/>
      <c r="M21" s="5"/>
      <c r="N21" s="5"/>
      <c r="Q21" s="4">
        <v>137</v>
      </c>
      <c r="R21" s="4">
        <v>100</v>
      </c>
      <c r="S21" s="4">
        <v>124</v>
      </c>
      <c r="T21" s="4">
        <v>60</v>
      </c>
      <c r="U21" s="4">
        <v>114</v>
      </c>
      <c r="V21" s="4">
        <v>112</v>
      </c>
      <c r="W21" s="4">
        <v>109</v>
      </c>
      <c r="X21" s="4">
        <v>122</v>
      </c>
      <c r="AC21" s="4">
        <v>20.914999999999999</v>
      </c>
      <c r="AD21" s="4">
        <v>43.11</v>
      </c>
      <c r="AE21" s="4">
        <v>67.718999999999994</v>
      </c>
      <c r="AF21" s="4">
        <v>107.444</v>
      </c>
      <c r="AG21" s="4">
        <v>153.76499999999999</v>
      </c>
      <c r="AH21" s="4">
        <v>245.34299999999999</v>
      </c>
      <c r="AI21" s="4">
        <v>374.84399999999999</v>
      </c>
      <c r="AJ21" s="4">
        <v>708</v>
      </c>
      <c r="AK21" s="4">
        <v>491</v>
      </c>
      <c r="AL21" s="4">
        <v>410</v>
      </c>
      <c r="AM21" s="4">
        <f>+AL21*1.03</f>
        <v>422.3</v>
      </c>
      <c r="AN21" s="4">
        <f>+AM21*1.1</f>
        <v>464.53000000000003</v>
      </c>
      <c r="AO21" s="4">
        <f t="shared" si="11"/>
        <v>510.98300000000006</v>
      </c>
      <c r="AP21" s="4">
        <f t="shared" si="11"/>
        <v>562.08130000000006</v>
      </c>
      <c r="AQ21" s="4">
        <f t="shared" ref="AQ21:AT21" si="14">+AP21*1.03</f>
        <v>578.94373900000005</v>
      </c>
      <c r="AR21" s="4">
        <f t="shared" si="14"/>
        <v>596.31205117000002</v>
      </c>
      <c r="AS21" s="4">
        <f t="shared" si="14"/>
        <v>614.20141270509998</v>
      </c>
      <c r="AT21" s="4">
        <f t="shared" si="14"/>
        <v>632.62745508625301</v>
      </c>
    </row>
    <row r="22" spans="2:144" s="4" customFormat="1" x14ac:dyDescent="0.25">
      <c r="B22" s="4" t="s">
        <v>25</v>
      </c>
      <c r="C22" s="5"/>
      <c r="D22" s="5">
        <v>13.366</v>
      </c>
      <c r="E22" s="5">
        <v>11.753</v>
      </c>
      <c r="F22" s="5">
        <v>12.647</v>
      </c>
      <c r="G22" s="5">
        <v>10.606</v>
      </c>
      <c r="H22" s="5">
        <v>17.986000000000001</v>
      </c>
      <c r="I22" s="5">
        <v>25.311</v>
      </c>
      <c r="J22" s="5">
        <v>27.814</v>
      </c>
      <c r="K22" s="5">
        <v>20.492999999999999</v>
      </c>
      <c r="L22" s="5"/>
      <c r="M22" s="5"/>
      <c r="N22" s="5"/>
      <c r="Q22" s="4">
        <v>34</v>
      </c>
      <c r="R22" s="4">
        <v>45</v>
      </c>
      <c r="S22" s="4">
        <v>51</v>
      </c>
      <c r="T22" s="4">
        <v>42</v>
      </c>
      <c r="U22" s="4">
        <v>58</v>
      </c>
      <c r="V22" s="4">
        <v>76</v>
      </c>
      <c r="W22" s="4">
        <v>75</v>
      </c>
      <c r="X22" s="4">
        <v>80</v>
      </c>
      <c r="AC22" s="4">
        <v>0</v>
      </c>
      <c r="AD22" s="4">
        <v>0</v>
      </c>
      <c r="AE22" s="4">
        <v>0</v>
      </c>
      <c r="AF22" s="4">
        <v>0</v>
      </c>
      <c r="AG22" s="4">
        <v>25.169</v>
      </c>
      <c r="AH22" s="4">
        <v>51.848999999999997</v>
      </c>
      <c r="AI22" s="4">
        <v>81.716999999999999</v>
      </c>
      <c r="AJ22" s="4">
        <v>135</v>
      </c>
      <c r="AK22" s="4">
        <v>152</v>
      </c>
      <c r="AL22" s="4">
        <v>227</v>
      </c>
      <c r="AM22" s="4">
        <f>+AL22*1.03</f>
        <v>233.81</v>
      </c>
      <c r="AN22" s="4">
        <f>+AM22*1.1</f>
        <v>257.19100000000003</v>
      </c>
      <c r="AO22" s="4">
        <f t="shared" si="11"/>
        <v>282.91010000000006</v>
      </c>
      <c r="AP22" s="4">
        <f t="shared" si="11"/>
        <v>311.20111000000009</v>
      </c>
      <c r="AQ22" s="4">
        <f t="shared" ref="AQ22:AT22" si="15">+AP22*1.03</f>
        <v>320.53714330000008</v>
      </c>
      <c r="AR22" s="4">
        <f t="shared" si="15"/>
        <v>330.15325759900009</v>
      </c>
      <c r="AS22" s="4">
        <f t="shared" si="15"/>
        <v>340.05785532697007</v>
      </c>
      <c r="AT22" s="4">
        <f t="shared" si="15"/>
        <v>350.25959098677919</v>
      </c>
    </row>
    <row r="23" spans="2:144" s="4" customFormat="1" x14ac:dyDescent="0.25">
      <c r="B23" s="4" t="s">
        <v>24</v>
      </c>
      <c r="C23" s="5"/>
      <c r="D23" s="5">
        <f>SUM(D19:D22)</f>
        <v>374.75</v>
      </c>
      <c r="E23" s="5">
        <f>SUM(E19:E22)</f>
        <v>354.58699999999993</v>
      </c>
      <c r="F23" s="5">
        <f>SUM(F19:F22)</f>
        <v>391.84699999999998</v>
      </c>
      <c r="G23" s="5">
        <f>SUM(G19:G22)</f>
        <v>439.81700000000001</v>
      </c>
      <c r="H23" s="5">
        <f t="shared" ref="H23:J23" si="16">SUM(H19:H22)</f>
        <v>481.41899999999998</v>
      </c>
      <c r="I23" s="5">
        <f t="shared" si="16"/>
        <v>613.01</v>
      </c>
      <c r="J23" s="5">
        <f t="shared" si="16"/>
        <v>677.81799999999998</v>
      </c>
      <c r="K23" s="5">
        <f>SUM(K19:K22)</f>
        <v>735.61299999999994</v>
      </c>
      <c r="L23" s="5"/>
      <c r="M23" s="5"/>
      <c r="N23" s="5"/>
      <c r="Q23" s="4">
        <f>SUM(Q19:Q22)</f>
        <v>779</v>
      </c>
      <c r="R23" s="4">
        <f t="shared" ref="R23:X23" si="17">SUM(R19:R22)</f>
        <v>773</v>
      </c>
      <c r="S23" s="4">
        <f t="shared" si="17"/>
        <v>871</v>
      </c>
      <c r="T23" s="4">
        <f t="shared" si="17"/>
        <v>804</v>
      </c>
      <c r="U23" s="4">
        <f t="shared" si="17"/>
        <v>835</v>
      </c>
      <c r="V23" s="4">
        <f t="shared" si="17"/>
        <v>887</v>
      </c>
      <c r="W23" s="4">
        <f t="shared" si="17"/>
        <v>966</v>
      </c>
      <c r="X23" s="4">
        <f t="shared" si="17"/>
        <v>1011</v>
      </c>
      <c r="AC23" s="4">
        <f t="shared" ref="AC23" si="18">SUM(AC19:AC22)</f>
        <v>131.011</v>
      </c>
      <c r="AD23" s="4">
        <f t="shared" ref="AD23" si="19">SUM(AD19:AD22)</f>
        <v>246.66000000000003</v>
      </c>
      <c r="AE23" s="4">
        <f t="shared" ref="AE23:AG23" si="20">SUM(AE19:AE22)</f>
        <v>429.41</v>
      </c>
      <c r="AF23" s="4">
        <f t="shared" si="20"/>
        <v>688.18700000000001</v>
      </c>
      <c r="AG23" s="4">
        <f t="shared" si="20"/>
        <v>1006.79</v>
      </c>
      <c r="AH23" s="4">
        <f t="shared" ref="AH23:AN23" si="21">SUM(AH19:AH22)</f>
        <v>1451.367</v>
      </c>
      <c r="AI23" s="4">
        <f t="shared" si="21"/>
        <v>2212.5010000000002</v>
      </c>
      <c r="AJ23" s="4">
        <f t="shared" si="21"/>
        <v>3576</v>
      </c>
      <c r="AK23" s="4">
        <f t="shared" si="21"/>
        <v>3593</v>
      </c>
      <c r="AL23" s="4">
        <f t="shared" si="21"/>
        <v>3397</v>
      </c>
      <c r="AM23" s="4">
        <f t="shared" si="21"/>
        <v>3498.9100000000003</v>
      </c>
      <c r="AN23" s="4">
        <f t="shared" si="21"/>
        <v>3848.8010000000004</v>
      </c>
      <c r="AO23" s="4">
        <f t="shared" ref="AO23" si="22">SUM(AO19:AO22)</f>
        <v>4233.6811000000007</v>
      </c>
      <c r="AP23" s="4">
        <f t="shared" ref="AP23" si="23">SUM(AP19:AP22)</f>
        <v>4657.049210000001</v>
      </c>
      <c r="AQ23" s="4">
        <f t="shared" ref="AQ23" si="24">SUM(AQ19:AQ22)</f>
        <v>4796.760686300001</v>
      </c>
      <c r="AR23" s="4">
        <f t="shared" ref="AR23" si="25">SUM(AR19:AR22)</f>
        <v>4940.6635068890018</v>
      </c>
      <c r="AS23" s="4">
        <f t="shared" ref="AS23" si="26">SUM(AS19:AS22)</f>
        <v>5088.8834120956708</v>
      </c>
      <c r="AT23" s="4">
        <f t="shared" ref="AT23" si="27">SUM(AT19:AT22)</f>
        <v>5241.549914458541</v>
      </c>
    </row>
    <row r="24" spans="2:144" s="4" customFormat="1" x14ac:dyDescent="0.25">
      <c r="B24" s="4" t="s">
        <v>23</v>
      </c>
      <c r="C24" s="5"/>
      <c r="D24" s="5">
        <f t="shared" ref="D24:F24" si="28">D18-D23</f>
        <v>0.28399999999999181</v>
      </c>
      <c r="E24" s="5">
        <f t="shared" si="28"/>
        <v>50.561000000000035</v>
      </c>
      <c r="F24" s="5">
        <f t="shared" si="28"/>
        <v>112.54099999999994</v>
      </c>
      <c r="G24" s="5">
        <f>G18-G23</f>
        <v>118.89899999999989</v>
      </c>
      <c r="H24" s="5">
        <f t="shared" ref="H24:J24" si="29">H18-H23</f>
        <v>139.44099999999992</v>
      </c>
      <c r="I24" s="5">
        <f t="shared" si="29"/>
        <v>-4.1009999999999991</v>
      </c>
      <c r="J24" s="5">
        <f t="shared" si="29"/>
        <v>14.841000000000122</v>
      </c>
      <c r="K24" s="5">
        <f>K18-K23</f>
        <v>-97.975999999999885</v>
      </c>
      <c r="L24" s="5"/>
      <c r="M24" s="5"/>
      <c r="N24" s="5"/>
      <c r="Q24" s="4">
        <f>+Q18-Q23</f>
        <v>34</v>
      </c>
      <c r="R24" s="4">
        <f t="shared" ref="R24:X24" si="30">+R18-R23</f>
        <v>309</v>
      </c>
      <c r="S24" s="4">
        <f t="shared" si="30"/>
        <v>33</v>
      </c>
      <c r="T24" s="4">
        <f t="shared" si="30"/>
        <v>196</v>
      </c>
      <c r="U24" s="4">
        <f t="shared" si="30"/>
        <v>209</v>
      </c>
      <c r="V24" s="4">
        <f t="shared" si="30"/>
        <v>573</v>
      </c>
      <c r="W24" s="4">
        <f t="shared" si="30"/>
        <v>225</v>
      </c>
      <c r="X24" s="4">
        <f t="shared" si="30"/>
        <v>367</v>
      </c>
      <c r="AC24" s="4">
        <f t="shared" ref="AC24" si="31">+AC18-AC23</f>
        <v>-17.755999999999986</v>
      </c>
      <c r="AD24" s="4">
        <f t="shared" ref="AD24" si="32">+AD18-AD23</f>
        <v>-37.165000000000049</v>
      </c>
      <c r="AE24" s="4">
        <f t="shared" ref="AE24:AG24" si="33">+AE18-AE23</f>
        <v>-51.156999999999925</v>
      </c>
      <c r="AF24" s="4">
        <f t="shared" si="33"/>
        <v>-91.920000000000186</v>
      </c>
      <c r="AG24" s="4">
        <f t="shared" si="33"/>
        <v>-141.14699999999993</v>
      </c>
      <c r="AH24" s="4">
        <f t="shared" ref="AH24:AN24" si="34">+AH18-AH23</f>
        <v>90.15300000000002</v>
      </c>
      <c r="AI24" s="4">
        <f t="shared" si="34"/>
        <v>268.64299999999957</v>
      </c>
      <c r="AJ24" s="4">
        <f t="shared" si="34"/>
        <v>-822</v>
      </c>
      <c r="AK24" s="4">
        <f t="shared" si="34"/>
        <v>-78</v>
      </c>
      <c r="AL24" s="4">
        <f t="shared" si="34"/>
        <v>1075</v>
      </c>
      <c r="AM24" s="4">
        <f t="shared" si="34"/>
        <v>2051.0899999999997</v>
      </c>
      <c r="AN24" s="4">
        <f t="shared" si="34"/>
        <v>2811.1989999999996</v>
      </c>
      <c r="AO24" s="4">
        <f t="shared" ref="AO24" si="35">+AO18-AO23</f>
        <v>3758.3188999999993</v>
      </c>
      <c r="AP24" s="4">
        <f t="shared" ref="AP24" si="36">+AP18-AP23</f>
        <v>4933.3507899999986</v>
      </c>
      <c r="AQ24" s="4">
        <f t="shared" ref="AQ24" si="37">+AQ18-AQ23</f>
        <v>6711.7193136999986</v>
      </c>
      <c r="AR24" s="4">
        <f t="shared" ref="AR24" si="38">+AR18-AR23</f>
        <v>8294.0884931109977</v>
      </c>
      <c r="AS24" s="4">
        <f t="shared" ref="AS24" si="39">+AS18-AS23</f>
        <v>9469.3437879043286</v>
      </c>
      <c r="AT24" s="4">
        <f t="shared" ref="AT24" si="40">+AT18-AT23</f>
        <v>10772.50000554146</v>
      </c>
    </row>
    <row r="25" spans="2:144" s="4" customFormat="1" x14ac:dyDescent="0.25">
      <c r="B25" s="4" t="s">
        <v>30</v>
      </c>
      <c r="C25" s="5"/>
      <c r="D25" s="5"/>
      <c r="E25" s="5"/>
      <c r="F25" s="5"/>
      <c r="G25" s="5">
        <f>2.83-0.873</f>
        <v>1.9570000000000001</v>
      </c>
      <c r="H25" s="5"/>
      <c r="I25" s="5"/>
      <c r="J25" s="5"/>
      <c r="K25" s="5">
        <f>6.189-0.874</f>
        <v>5.3150000000000004</v>
      </c>
      <c r="L25" s="5"/>
      <c r="M25" s="5"/>
      <c r="N25" s="5"/>
      <c r="Q25" s="4">
        <v>63</v>
      </c>
      <c r="R25" s="4">
        <v>68</v>
      </c>
      <c r="S25" s="4">
        <v>79</v>
      </c>
      <c r="T25" s="4">
        <v>80</v>
      </c>
      <c r="U25" s="4">
        <v>77</v>
      </c>
      <c r="V25" s="4">
        <v>72</v>
      </c>
      <c r="W25" s="4">
        <v>65</v>
      </c>
      <c r="X25" s="4">
        <v>106</v>
      </c>
      <c r="AC25" s="4">
        <v>0</v>
      </c>
      <c r="AD25" s="4">
        <v>1.81</v>
      </c>
      <c r="AE25" s="4">
        <v>9.1620000000000008</v>
      </c>
      <c r="AF25" s="4">
        <v>0</v>
      </c>
      <c r="AG25" s="4">
        <v>0</v>
      </c>
      <c r="AH25" s="4">
        <v>0</v>
      </c>
      <c r="AI25" s="4">
        <f>15.356-3.493</f>
        <v>11.863</v>
      </c>
      <c r="AJ25" s="4">
        <v>75</v>
      </c>
      <c r="AK25" s="4">
        <v>241</v>
      </c>
      <c r="AL25" s="4">
        <v>308</v>
      </c>
      <c r="AM25" s="4">
        <f>+AL25</f>
        <v>308</v>
      </c>
      <c r="AN25" s="4">
        <f>+AM25</f>
        <v>308</v>
      </c>
      <c r="AO25" s="4">
        <f>+AN39*$AX$34</f>
        <v>1625.1500150000002</v>
      </c>
      <c r="AP25" s="4">
        <f>+AO39*$AX$34</f>
        <v>2082.7448727750002</v>
      </c>
      <c r="AQ25" s="4">
        <f t="shared" ref="AQ25:AT25" si="41">+AP39*$AX$34</f>
        <v>2679.1130041108754</v>
      </c>
      <c r="AR25" s="4">
        <f t="shared" si="41"/>
        <v>3477.3337511247992</v>
      </c>
      <c r="AS25" s="4">
        <f t="shared" si="41"/>
        <v>4477.904641884842</v>
      </c>
      <c r="AT25" s="4">
        <f t="shared" si="41"/>
        <v>5663.4207584169217</v>
      </c>
    </row>
    <row r="26" spans="2:144" s="4" customFormat="1" x14ac:dyDescent="0.25">
      <c r="B26" s="4" t="s">
        <v>33</v>
      </c>
      <c r="C26" s="5"/>
      <c r="D26" s="5"/>
      <c r="E26" s="5"/>
      <c r="F26" s="5"/>
      <c r="G26" s="5">
        <f>+G24+G25</f>
        <v>120.85599999999988</v>
      </c>
      <c r="H26" s="5"/>
      <c r="I26" s="5"/>
      <c r="J26" s="5"/>
      <c r="K26" s="5">
        <f>+K24+K25</f>
        <v>-92.660999999999888</v>
      </c>
      <c r="L26" s="5"/>
      <c r="M26" s="5"/>
      <c r="N26" s="5"/>
      <c r="Q26" s="4">
        <f>+Q24+Q25</f>
        <v>97</v>
      </c>
      <c r="R26" s="4">
        <f t="shared" ref="R26:X26" si="42">+R24+R25</f>
        <v>377</v>
      </c>
      <c r="S26" s="4">
        <f t="shared" si="42"/>
        <v>112</v>
      </c>
      <c r="T26" s="4">
        <f t="shared" si="42"/>
        <v>276</v>
      </c>
      <c r="U26" s="4">
        <f t="shared" si="42"/>
        <v>286</v>
      </c>
      <c r="V26" s="4">
        <f t="shared" si="42"/>
        <v>645</v>
      </c>
      <c r="W26" s="4">
        <f t="shared" si="42"/>
        <v>290</v>
      </c>
      <c r="X26" s="4">
        <f t="shared" si="42"/>
        <v>473</v>
      </c>
      <c r="AC26" s="4">
        <f t="shared" ref="AC26:AD26" si="43">+AC24+AC25</f>
        <v>-17.755999999999986</v>
      </c>
      <c r="AD26" s="4">
        <f t="shared" si="43"/>
        <v>-35.355000000000047</v>
      </c>
      <c r="AE26" s="4">
        <f t="shared" ref="AE26:AN26" si="44">+AE24+AE25</f>
        <v>-41.994999999999926</v>
      </c>
      <c r="AF26" s="4">
        <f t="shared" si="44"/>
        <v>-91.920000000000186</v>
      </c>
      <c r="AG26" s="4">
        <f t="shared" si="44"/>
        <v>-141.14699999999993</v>
      </c>
      <c r="AH26" s="4">
        <f t="shared" si="44"/>
        <v>90.15300000000002</v>
      </c>
      <c r="AI26" s="4">
        <f t="shared" si="44"/>
        <v>280.50599999999957</v>
      </c>
      <c r="AJ26" s="4">
        <f t="shared" si="44"/>
        <v>-747</v>
      </c>
      <c r="AK26" s="4">
        <f t="shared" si="44"/>
        <v>163</v>
      </c>
      <c r="AL26" s="4">
        <f t="shared" si="44"/>
        <v>1383</v>
      </c>
      <c r="AM26" s="4">
        <f t="shared" si="44"/>
        <v>2359.0899999999997</v>
      </c>
      <c r="AN26" s="4">
        <f t="shared" si="44"/>
        <v>3119.1989999999996</v>
      </c>
      <c r="AO26" s="4">
        <f t="shared" ref="AO26" si="45">+AO24+AO25</f>
        <v>5383.4689149999995</v>
      </c>
      <c r="AP26" s="4">
        <f t="shared" ref="AP26" si="46">+AP24+AP25</f>
        <v>7016.0956627749983</v>
      </c>
      <c r="AQ26" s="4">
        <f t="shared" ref="AQ26" si="47">+AQ24+AQ25</f>
        <v>9390.8323178108731</v>
      </c>
      <c r="AR26" s="4">
        <f t="shared" ref="AR26" si="48">+AR24+AR25</f>
        <v>11771.422244235797</v>
      </c>
      <c r="AS26" s="4">
        <f t="shared" ref="AS26" si="49">+AS24+AS25</f>
        <v>13947.248429789171</v>
      </c>
      <c r="AT26" s="4">
        <f t="shared" ref="AT26" si="50">+AT24+AT25</f>
        <v>16435.920763958384</v>
      </c>
    </row>
    <row r="27" spans="2:144" s="4" customFormat="1" x14ac:dyDescent="0.25">
      <c r="B27" s="4" t="s">
        <v>32</v>
      </c>
      <c r="C27" s="5"/>
      <c r="D27" s="5"/>
      <c r="E27" s="5"/>
      <c r="F27" s="5"/>
      <c r="G27" s="5">
        <v>0.111</v>
      </c>
      <c r="H27" s="5"/>
      <c r="I27" s="5"/>
      <c r="J27" s="5"/>
      <c r="K27" s="5">
        <v>0</v>
      </c>
      <c r="L27" s="5"/>
      <c r="M27" s="5"/>
      <c r="N27" s="5"/>
      <c r="Q27" s="4">
        <v>10</v>
      </c>
      <c r="R27" s="4">
        <v>25</v>
      </c>
      <c r="S27" s="4">
        <v>17</v>
      </c>
      <c r="T27" s="4">
        <v>32</v>
      </c>
      <c r="U27" s="4">
        <v>32</v>
      </c>
      <c r="V27" s="4">
        <v>128</v>
      </c>
      <c r="W27" s="4">
        <v>0</v>
      </c>
      <c r="X27" s="4">
        <v>173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225.93299999999999</v>
      </c>
      <c r="AJ27" s="4">
        <v>163</v>
      </c>
      <c r="AK27" s="4">
        <v>-53</v>
      </c>
      <c r="AL27" s="4">
        <v>0</v>
      </c>
      <c r="AM27" s="4">
        <f>+AM26*0.1</f>
        <v>235.90899999999999</v>
      </c>
      <c r="AN27" s="4">
        <f>+AN26*0.15</f>
        <v>467.87984999999992</v>
      </c>
      <c r="AO27" s="4">
        <f t="shared" ref="AO27" si="51">+AO26*0.15</f>
        <v>807.5203372499999</v>
      </c>
      <c r="AP27" s="4">
        <f t="shared" ref="AP27" si="52">+AP26*0.15</f>
        <v>1052.4143494162497</v>
      </c>
      <c r="AQ27" s="4">
        <f t="shared" ref="AQ27" si="53">+AQ26*0.15</f>
        <v>1408.624847671631</v>
      </c>
      <c r="AR27" s="4">
        <f t="shared" ref="AR27" si="54">+AR26*0.15</f>
        <v>1765.7133366353694</v>
      </c>
      <c r="AS27" s="4">
        <f t="shared" ref="AS27" si="55">+AS26*0.15</f>
        <v>2092.0872644683755</v>
      </c>
      <c r="AT27" s="4">
        <f t="shared" ref="AT27" si="56">+AT26*0.15</f>
        <v>2465.3881145937576</v>
      </c>
    </row>
    <row r="28" spans="2:144" s="4" customFormat="1" x14ac:dyDescent="0.25">
      <c r="B28" s="4" t="s">
        <v>31</v>
      </c>
      <c r="C28" s="5"/>
      <c r="D28" s="5"/>
      <c r="E28" s="5"/>
      <c r="F28" s="5"/>
      <c r="G28" s="5">
        <f>+G26-G27</f>
        <v>120.74499999999988</v>
      </c>
      <c r="H28" s="5"/>
      <c r="I28" s="5"/>
      <c r="J28" s="5"/>
      <c r="K28" s="5">
        <f>+K26-K27</f>
        <v>-92.660999999999888</v>
      </c>
      <c r="L28" s="5"/>
      <c r="M28" s="5"/>
      <c r="N28" s="5"/>
      <c r="Q28" s="4">
        <f t="shared" ref="Q28:V28" si="57">+Q26-Q27</f>
        <v>87</v>
      </c>
      <c r="R28" s="4">
        <f t="shared" si="57"/>
        <v>352</v>
      </c>
      <c r="S28" s="4">
        <f t="shared" si="57"/>
        <v>95</v>
      </c>
      <c r="T28" s="4">
        <f t="shared" si="57"/>
        <v>244</v>
      </c>
      <c r="U28" s="4">
        <f t="shared" si="57"/>
        <v>254</v>
      </c>
      <c r="V28" s="4">
        <f t="shared" si="57"/>
        <v>517</v>
      </c>
      <c r="W28" s="4">
        <f>+W26-W27</f>
        <v>290</v>
      </c>
      <c r="X28" s="4">
        <f>+X26-X27</f>
        <v>300</v>
      </c>
      <c r="AC28" s="4">
        <f t="shared" ref="AC28:AD28" si="58">+AC26-AC27</f>
        <v>-17.755999999999986</v>
      </c>
      <c r="AD28" s="4">
        <f t="shared" si="58"/>
        <v>-35.355000000000047</v>
      </c>
      <c r="AE28" s="4">
        <f t="shared" ref="AE28:AN28" si="59">+AE26-AE27</f>
        <v>-41.994999999999926</v>
      </c>
      <c r="AF28" s="4">
        <f t="shared" si="59"/>
        <v>-91.920000000000186</v>
      </c>
      <c r="AG28" s="4">
        <f t="shared" si="59"/>
        <v>-141.14699999999993</v>
      </c>
      <c r="AH28" s="4">
        <f t="shared" si="59"/>
        <v>90.15300000000002</v>
      </c>
      <c r="AI28" s="4">
        <f t="shared" si="59"/>
        <v>54.572999999999581</v>
      </c>
      <c r="AJ28" s="4">
        <f t="shared" si="59"/>
        <v>-910</v>
      </c>
      <c r="AK28" s="4">
        <f t="shared" si="59"/>
        <v>216</v>
      </c>
      <c r="AL28" s="4">
        <f t="shared" si="59"/>
        <v>1383</v>
      </c>
      <c r="AM28" s="4">
        <f t="shared" si="59"/>
        <v>2123.1809999999996</v>
      </c>
      <c r="AN28" s="4">
        <f t="shared" si="59"/>
        <v>2651.3191499999998</v>
      </c>
      <c r="AO28" s="4">
        <f t="shared" ref="AO28" si="60">+AO26-AO27</f>
        <v>4575.9485777499995</v>
      </c>
      <c r="AP28" s="4">
        <f t="shared" ref="AP28" si="61">+AP26-AP27</f>
        <v>5963.6813133587484</v>
      </c>
      <c r="AQ28" s="4">
        <f t="shared" ref="AQ28" si="62">+AQ26-AQ27</f>
        <v>7982.2074701392421</v>
      </c>
      <c r="AR28" s="4">
        <f t="shared" ref="AR28" si="63">+AR26-AR27</f>
        <v>10005.708907600427</v>
      </c>
      <c r="AS28" s="4">
        <f t="shared" ref="AS28" si="64">+AS26-AS27</f>
        <v>11855.161165320796</v>
      </c>
      <c r="AT28" s="4">
        <f t="shared" ref="AT28" si="65">+AT26-AT27</f>
        <v>13970.532649364626</v>
      </c>
      <c r="AU28" s="4">
        <f>+AT28*(1+$AX$32)</f>
        <v>14529.353955339211</v>
      </c>
      <c r="AV28" s="4">
        <f t="shared" ref="AV28:DG28" si="66">+AU28*(1+$AX$32)</f>
        <v>15110.52811355278</v>
      </c>
      <c r="AW28" s="4">
        <f t="shared" si="66"/>
        <v>15714.949238094892</v>
      </c>
      <c r="AX28" s="4">
        <f t="shared" si="66"/>
        <v>16343.547207618689</v>
      </c>
      <c r="AY28" s="4">
        <f t="shared" si="66"/>
        <v>16997.289095923436</v>
      </c>
      <c r="AZ28" s="4">
        <f t="shared" si="66"/>
        <v>17677.180659760372</v>
      </c>
      <c r="BA28" s="4">
        <f t="shared" si="66"/>
        <v>18384.267886150788</v>
      </c>
      <c r="BB28" s="4">
        <f t="shared" si="66"/>
        <v>19119.63860159682</v>
      </c>
      <c r="BC28" s="4">
        <f t="shared" si="66"/>
        <v>19884.424145660694</v>
      </c>
      <c r="BD28" s="4">
        <f t="shared" si="66"/>
        <v>20679.801111487122</v>
      </c>
      <c r="BE28" s="4">
        <f t="shared" si="66"/>
        <v>21506.993155946609</v>
      </c>
      <c r="BF28" s="4">
        <f t="shared" si="66"/>
        <v>22367.272882184476</v>
      </c>
      <c r="BG28" s="4">
        <f t="shared" si="66"/>
        <v>23261.963797471857</v>
      </c>
      <c r="BH28" s="4">
        <f t="shared" si="66"/>
        <v>24192.442349370733</v>
      </c>
      <c r="BI28" s="4">
        <f t="shared" si="66"/>
        <v>25160.140043345564</v>
      </c>
      <c r="BJ28" s="4">
        <f t="shared" si="66"/>
        <v>26166.545645079386</v>
      </c>
      <c r="BK28" s="4">
        <f t="shared" si="66"/>
        <v>27213.207470882564</v>
      </c>
      <c r="BL28" s="4">
        <f t="shared" si="66"/>
        <v>28301.735769717867</v>
      </c>
      <c r="BM28" s="4">
        <f t="shared" si="66"/>
        <v>29433.805200506584</v>
      </c>
      <c r="BN28" s="4">
        <f t="shared" si="66"/>
        <v>30611.157408526848</v>
      </c>
      <c r="BO28" s="4">
        <f t="shared" si="66"/>
        <v>31835.603704867921</v>
      </c>
      <c r="BP28" s="4">
        <f t="shared" si="66"/>
        <v>33109.027853062638</v>
      </c>
      <c r="BQ28" s="4">
        <f t="shared" si="66"/>
        <v>34433.388967185143</v>
      </c>
      <c r="BR28" s="4">
        <f t="shared" si="66"/>
        <v>35810.724525872552</v>
      </c>
      <c r="BS28" s="4">
        <f t="shared" si="66"/>
        <v>37243.153506907453</v>
      </c>
      <c r="BT28" s="4">
        <f t="shared" si="66"/>
        <v>38732.879647183749</v>
      </c>
      <c r="BU28" s="4">
        <f t="shared" si="66"/>
        <v>40282.194833071102</v>
      </c>
      <c r="BV28" s="4">
        <f t="shared" si="66"/>
        <v>41893.482626393947</v>
      </c>
      <c r="BW28" s="4">
        <f t="shared" si="66"/>
        <v>43569.221931449705</v>
      </c>
      <c r="BX28" s="4">
        <f t="shared" si="66"/>
        <v>45311.990808707698</v>
      </c>
      <c r="BY28" s="4">
        <f t="shared" si="66"/>
        <v>47124.470441056008</v>
      </c>
      <c r="BZ28" s="4">
        <f t="shared" si="66"/>
        <v>49009.449258698252</v>
      </c>
      <c r="CA28" s="4">
        <f t="shared" si="66"/>
        <v>50969.827229046183</v>
      </c>
      <c r="CB28" s="4">
        <f t="shared" si="66"/>
        <v>53008.620318208035</v>
      </c>
      <c r="CC28" s="4">
        <f t="shared" si="66"/>
        <v>55128.965130936362</v>
      </c>
      <c r="CD28" s="4">
        <f t="shared" si="66"/>
        <v>57334.123736173817</v>
      </c>
      <c r="CE28" s="4">
        <f t="shared" si="66"/>
        <v>59627.488685620774</v>
      </c>
      <c r="CF28" s="4">
        <f t="shared" si="66"/>
        <v>62012.588233045608</v>
      </c>
      <c r="CG28" s="4">
        <f t="shared" si="66"/>
        <v>64493.091762367432</v>
      </c>
      <c r="CH28" s="4">
        <f t="shared" si="66"/>
        <v>67072.815432862131</v>
      </c>
      <c r="CI28" s="4">
        <f t="shared" si="66"/>
        <v>69755.728050176622</v>
      </c>
      <c r="CJ28" s="4">
        <f t="shared" si="66"/>
        <v>72545.957172183684</v>
      </c>
      <c r="CK28" s="4">
        <f t="shared" si="66"/>
        <v>75447.795459071029</v>
      </c>
      <c r="CL28" s="4">
        <f t="shared" si="66"/>
        <v>78465.707277433874</v>
      </c>
      <c r="CM28" s="4">
        <f t="shared" si="66"/>
        <v>81604.335568531227</v>
      </c>
      <c r="CN28" s="4">
        <f t="shared" si="66"/>
        <v>84868.50899127248</v>
      </c>
      <c r="CO28" s="4">
        <f t="shared" si="66"/>
        <v>88263.249350923375</v>
      </c>
      <c r="CP28" s="4">
        <f t="shared" si="66"/>
        <v>91793.779324960313</v>
      </c>
      <c r="CQ28" s="4">
        <f t="shared" si="66"/>
        <v>95465.530497958724</v>
      </c>
      <c r="CR28" s="4">
        <f t="shared" si="66"/>
        <v>99284.151717877074</v>
      </c>
      <c r="CS28" s="4">
        <f t="shared" si="66"/>
        <v>103255.51778659216</v>
      </c>
      <c r="CT28" s="4">
        <f t="shared" si="66"/>
        <v>107385.73849805584</v>
      </c>
      <c r="CU28" s="4">
        <f t="shared" si="66"/>
        <v>111681.16803797807</v>
      </c>
      <c r="CV28" s="4">
        <f t="shared" si="66"/>
        <v>116148.4147594972</v>
      </c>
      <c r="CW28" s="4">
        <f t="shared" si="66"/>
        <v>120794.35134987709</v>
      </c>
      <c r="CX28" s="4">
        <f t="shared" si="66"/>
        <v>125626.12540387218</v>
      </c>
      <c r="CY28" s="4">
        <f t="shared" si="66"/>
        <v>130651.17042002708</v>
      </c>
      <c r="CZ28" s="4">
        <f t="shared" si="66"/>
        <v>135877.21723682818</v>
      </c>
      <c r="DA28" s="4">
        <f t="shared" si="66"/>
        <v>141312.30592630131</v>
      </c>
      <c r="DB28" s="4">
        <f t="shared" si="66"/>
        <v>146964.79816335338</v>
      </c>
      <c r="DC28" s="4">
        <f t="shared" si="66"/>
        <v>152843.39008988751</v>
      </c>
      <c r="DD28" s="4">
        <f t="shared" si="66"/>
        <v>158957.12569348302</v>
      </c>
      <c r="DE28" s="4">
        <f t="shared" si="66"/>
        <v>165315.41072122235</v>
      </c>
      <c r="DF28" s="4">
        <f t="shared" si="66"/>
        <v>171928.02715007126</v>
      </c>
      <c r="DG28" s="4">
        <f t="shared" si="66"/>
        <v>178805.14823607411</v>
      </c>
      <c r="DH28" s="4">
        <f t="shared" ref="DH28:EN28" si="67">+DG28*(1+$AX$32)</f>
        <v>185957.35416551708</v>
      </c>
      <c r="DI28" s="4">
        <f t="shared" si="67"/>
        <v>193395.64833213779</v>
      </c>
      <c r="DJ28" s="4">
        <f t="shared" si="67"/>
        <v>201131.47426542331</v>
      </c>
      <c r="DK28" s="4">
        <f t="shared" si="67"/>
        <v>209176.73323604025</v>
      </c>
      <c r="DL28" s="4">
        <f t="shared" si="67"/>
        <v>217543.80256548186</v>
      </c>
      <c r="DM28" s="4">
        <f t="shared" si="67"/>
        <v>226245.55466810113</v>
      </c>
      <c r="DN28" s="4">
        <f t="shared" si="67"/>
        <v>235295.37685482518</v>
      </c>
      <c r="DO28" s="4">
        <f t="shared" si="67"/>
        <v>244707.19192901821</v>
      </c>
      <c r="DP28" s="4">
        <f t="shared" si="67"/>
        <v>254495.47960617894</v>
      </c>
      <c r="DQ28" s="4">
        <f t="shared" si="67"/>
        <v>264675.29879042611</v>
      </c>
      <c r="DR28" s="4">
        <f t="shared" si="67"/>
        <v>275262.31074204319</v>
      </c>
      <c r="DS28" s="4">
        <f t="shared" si="67"/>
        <v>286272.80317172495</v>
      </c>
      <c r="DT28" s="4">
        <f t="shared" si="67"/>
        <v>297723.71529859398</v>
      </c>
      <c r="DU28" s="4">
        <f t="shared" si="67"/>
        <v>309632.66391053773</v>
      </c>
      <c r="DV28" s="4">
        <f t="shared" si="67"/>
        <v>322017.97046695923</v>
      </c>
      <c r="DW28" s="4">
        <f t="shared" si="67"/>
        <v>334898.68928563764</v>
      </c>
      <c r="DX28" s="4">
        <f t="shared" si="67"/>
        <v>348294.63685706316</v>
      </c>
      <c r="DY28" s="4">
        <f t="shared" si="67"/>
        <v>362226.42233134568</v>
      </c>
      <c r="DZ28" s="4">
        <f t="shared" si="67"/>
        <v>376715.47922459949</v>
      </c>
      <c r="EA28" s="4">
        <f t="shared" si="67"/>
        <v>391784.0983935835</v>
      </c>
      <c r="EB28" s="4">
        <f t="shared" si="67"/>
        <v>407455.46232932684</v>
      </c>
      <c r="EC28" s="4">
        <f t="shared" si="67"/>
        <v>423753.68082249991</v>
      </c>
      <c r="ED28" s="4">
        <f t="shared" si="67"/>
        <v>440703.82805539994</v>
      </c>
      <c r="EE28" s="4">
        <f t="shared" si="67"/>
        <v>458331.98117761593</v>
      </c>
      <c r="EF28" s="4">
        <f t="shared" si="67"/>
        <v>476665.26042472059</v>
      </c>
      <c r="EG28" s="4">
        <f t="shared" si="67"/>
        <v>495731.87084170943</v>
      </c>
      <c r="EH28" s="4">
        <f t="shared" si="67"/>
        <v>515561.1456753778</v>
      </c>
      <c r="EI28" s="4">
        <f t="shared" si="67"/>
        <v>536183.5915023929</v>
      </c>
      <c r="EJ28" s="4">
        <f t="shared" si="67"/>
        <v>557630.9351624886</v>
      </c>
      <c r="EK28" s="4">
        <f t="shared" si="67"/>
        <v>579936.17256898817</v>
      </c>
      <c r="EL28" s="4">
        <f t="shared" si="67"/>
        <v>603133.61947174766</v>
      </c>
      <c r="EM28" s="4">
        <f t="shared" si="67"/>
        <v>627258.96425061754</v>
      </c>
      <c r="EN28" s="4">
        <f t="shared" si="67"/>
        <v>652349.32282064226</v>
      </c>
    </row>
    <row r="29" spans="2:144" x14ac:dyDescent="0.25">
      <c r="B29" s="4" t="s">
        <v>34</v>
      </c>
      <c r="D29" s="7"/>
      <c r="G29" s="7">
        <f>+G28/G30</f>
        <v>0.95319189542877347</v>
      </c>
      <c r="K29" s="7">
        <f>+K28/K30</f>
        <v>-0.73532850950551343</v>
      </c>
      <c r="Q29" s="1">
        <f t="shared" ref="Q29:W29" si="68">+Q28/Q30</f>
        <v>6.713842662847426E-2</v>
      </c>
      <c r="R29" s="1">
        <f t="shared" si="68"/>
        <v>0.27133369334792212</v>
      </c>
      <c r="S29" s="1">
        <f t="shared" si="68"/>
        <v>7.3091183672873539E-2</v>
      </c>
      <c r="T29" s="1">
        <f t="shared" si="68"/>
        <v>0.18770485807228349</v>
      </c>
      <c r="U29" s="1">
        <f t="shared" si="68"/>
        <v>0.19514433926345531</v>
      </c>
      <c r="V29" s="1">
        <f t="shared" si="68"/>
        <v>0.39609879553466137</v>
      </c>
      <c r="W29" s="1">
        <f t="shared" si="68"/>
        <v>0.22172353235713924</v>
      </c>
      <c r="X29" s="1">
        <f>+X28/X30</f>
        <v>0.2291836609852704</v>
      </c>
      <c r="AC29" s="1">
        <f t="shared" ref="AC29:AD29" si="69">+AC28/AC30</f>
        <v>-2.8770466814434757E-2</v>
      </c>
      <c r="AD29" s="1">
        <f t="shared" si="69"/>
        <v>-4.2095000110550777E-2</v>
      </c>
      <c r="AE29" s="1">
        <f t="shared" ref="AE29:AN29" si="70">+AE28/AE30</f>
        <v>-4.3847606539320974E-2</v>
      </c>
      <c r="AF29" s="1">
        <f t="shared" si="70"/>
        <v>-8.6986278340438636E-2</v>
      </c>
      <c r="AG29" s="1">
        <f t="shared" si="70"/>
        <v>-0.12487964761231403</v>
      </c>
      <c r="AH29" s="1">
        <f t="shared" si="70"/>
        <v>7.3020095028421175E-2</v>
      </c>
      <c r="AI29" s="1">
        <f t="shared" si="70"/>
        <v>4.2847810267103825E-2</v>
      </c>
      <c r="AJ29" s="1">
        <f t="shared" si="70"/>
        <v>-0.7186471494262604</v>
      </c>
      <c r="AK29" s="1">
        <f t="shared" si="70"/>
        <v>0.16672952665715091</v>
      </c>
      <c r="AL29" s="1">
        <f t="shared" si="70"/>
        <v>1.0626119055959908</v>
      </c>
      <c r="AM29" s="1">
        <f t="shared" si="70"/>
        <v>1.6313213364679688</v>
      </c>
      <c r="AN29" s="1">
        <f t="shared" si="70"/>
        <v>2.0371101188175289</v>
      </c>
      <c r="AO29" s="1">
        <f t="shared" ref="AO29" si="71">+AO28/AO30</f>
        <v>3.5158766725323147</v>
      </c>
      <c r="AP29" s="1">
        <f t="shared" ref="AP29" si="72">+AP28/AP30</f>
        <v>4.5821249202858576</v>
      </c>
      <c r="AQ29" s="1">
        <f t="shared" ref="AQ29" si="73">+AQ28/AQ30</f>
        <v>6.1330359296509132</v>
      </c>
      <c r="AR29" s="1">
        <f t="shared" ref="AR29" si="74">+AR28/AR30</f>
        <v>7.6877696378482065</v>
      </c>
      <c r="AS29" s="1">
        <f t="shared" ref="AS29" si="75">+AS28/AS30</f>
        <v>9.1087746905488931</v>
      </c>
      <c r="AT29" s="1">
        <f t="shared" ref="AT29" si="76">+AT28/AT30</f>
        <v>10.734095676596061</v>
      </c>
    </row>
    <row r="30" spans="2:144" s="4" customFormat="1" x14ac:dyDescent="0.25">
      <c r="B30" s="4" t="s">
        <v>1</v>
      </c>
      <c r="C30" s="5"/>
      <c r="D30" s="5"/>
      <c r="E30" s="5"/>
      <c r="F30" s="5"/>
      <c r="G30" s="5">
        <v>126.67438799999999</v>
      </c>
      <c r="H30" s="5"/>
      <c r="I30" s="5"/>
      <c r="J30" s="5"/>
      <c r="K30" s="5">
        <v>126.01306599999999</v>
      </c>
      <c r="L30" s="5"/>
      <c r="M30" s="5"/>
      <c r="N30" s="5"/>
      <c r="Q30" s="4">
        <v>1295.8301879999999</v>
      </c>
      <c r="R30" s="4">
        <v>1297.295576</v>
      </c>
      <c r="S30" s="4">
        <v>1299.746361</v>
      </c>
      <c r="T30" s="4">
        <v>1299.9130789999999</v>
      </c>
      <c r="U30" s="4">
        <v>1301.6006560000001</v>
      </c>
      <c r="V30" s="4">
        <v>1305.229922</v>
      </c>
      <c r="W30" s="4">
        <v>1307.9351429999999</v>
      </c>
      <c r="X30" s="4">
        <v>1308.9938380000001</v>
      </c>
      <c r="AC30" s="4">
        <f>61.716065*10</f>
        <v>617.16065000000003</v>
      </c>
      <c r="AD30" s="4">
        <f>83.988597*10</f>
        <v>839.88597000000004</v>
      </c>
      <c r="AE30" s="4">
        <f>95.774897*10</f>
        <v>957.74896999999999</v>
      </c>
      <c r="AF30" s="4">
        <f>105.671839*10</f>
        <v>1056.71839</v>
      </c>
      <c r="AG30" s="4">
        <f>113.026424*10</f>
        <v>1130.26424</v>
      </c>
      <c r="AH30" s="4">
        <f>123.463274*10</f>
        <v>1234.63274</v>
      </c>
      <c r="AI30" s="4">
        <v>1273.64735</v>
      </c>
      <c r="AJ30" s="4">
        <v>1266.268155</v>
      </c>
      <c r="AK30" s="4">
        <v>1295.511385</v>
      </c>
      <c r="AL30" s="4">
        <v>1301.50998</v>
      </c>
      <c r="AM30" s="4">
        <f>+AL30</f>
        <v>1301.50998</v>
      </c>
      <c r="AN30" s="4">
        <f>+AM30</f>
        <v>1301.50998</v>
      </c>
      <c r="AO30" s="4">
        <f t="shared" ref="AO30:AR30" si="77">+AN30</f>
        <v>1301.50998</v>
      </c>
      <c r="AP30" s="4">
        <f t="shared" si="77"/>
        <v>1301.50998</v>
      </c>
      <c r="AQ30" s="4">
        <f t="shared" si="77"/>
        <v>1301.50998</v>
      </c>
      <c r="AR30" s="4">
        <f t="shared" si="77"/>
        <v>1301.50998</v>
      </c>
      <c r="AS30" s="4">
        <f t="shared" ref="AS30:AT30" si="78">+AR30</f>
        <v>1301.50998</v>
      </c>
      <c r="AT30" s="4">
        <f t="shared" si="78"/>
        <v>1301.50998</v>
      </c>
    </row>
    <row r="32" spans="2:144" s="12" customFormat="1" ht="13" x14ac:dyDescent="0.3">
      <c r="B32" s="8" t="s">
        <v>35</v>
      </c>
      <c r="C32" s="10"/>
      <c r="D32" s="10"/>
      <c r="E32" s="10"/>
      <c r="F32" s="10"/>
      <c r="G32" s="11"/>
      <c r="H32" s="11">
        <f>+H16/D16-1</f>
        <v>0.56710170632793022</v>
      </c>
      <c r="I32" s="11">
        <f>+I16/E16-1</f>
        <v>0.46433760530619428</v>
      </c>
      <c r="J32" s="11">
        <f>+J16/F16-1</f>
        <v>0.4114369405488556</v>
      </c>
      <c r="K32" s="11">
        <f>+K16/G16-1</f>
        <v>0.2174446491012465</v>
      </c>
      <c r="L32" s="10"/>
      <c r="M32" s="10"/>
      <c r="N32" s="10"/>
      <c r="U32" s="13">
        <f>+U16/Q16-1</f>
        <v>0.26137689614935833</v>
      </c>
      <c r="V32" s="13">
        <f>+V16/R16-1</f>
        <v>0.31156716417910446</v>
      </c>
      <c r="W32" s="13">
        <f>+W16/S16-1</f>
        <v>0.26813541106931749</v>
      </c>
      <c r="X32" s="13">
        <f>+X16/T16-1</f>
        <v>0.31051344743276288</v>
      </c>
      <c r="AD32" s="13">
        <f t="shared" ref="AD32:AN32" si="79">+AD16/AC16-1</f>
        <v>0.89701461265975735</v>
      </c>
      <c r="AE32" s="13">
        <f t="shared" si="79"/>
        <v>0.72939151876300334</v>
      </c>
      <c r="AF32" s="13">
        <f t="shared" si="79"/>
        <v>0.59397389589249383</v>
      </c>
      <c r="AG32" s="13">
        <f t="shared" si="79"/>
        <v>0.47049045450691351</v>
      </c>
      <c r="AH32" s="13">
        <f t="shared" si="79"/>
        <v>0.856254669164914</v>
      </c>
      <c r="AI32" s="13">
        <f t="shared" si="79"/>
        <v>0.57428577182862139</v>
      </c>
      <c r="AJ32" s="13">
        <f t="shared" si="79"/>
        <v>0.21426167686068265</v>
      </c>
      <c r="AK32" s="13">
        <f t="shared" si="79"/>
        <v>0.26071428571428568</v>
      </c>
      <c r="AL32" s="13">
        <f t="shared" si="79"/>
        <v>0.25779036827195467</v>
      </c>
      <c r="AM32" s="13">
        <f t="shared" si="79"/>
        <v>0.25</v>
      </c>
      <c r="AN32" s="13">
        <f t="shared" si="79"/>
        <v>0.19999999999999996</v>
      </c>
      <c r="AO32" s="13">
        <f t="shared" ref="AO32:AR32" si="80">+AO16/AN16-1</f>
        <v>0.19999999999999996</v>
      </c>
      <c r="AP32" s="13">
        <f t="shared" si="80"/>
        <v>0.19999999999999996</v>
      </c>
      <c r="AQ32" s="13">
        <f t="shared" si="80"/>
        <v>0.19999999999999996</v>
      </c>
      <c r="AR32" s="13">
        <f t="shared" si="80"/>
        <v>0.14999999999999991</v>
      </c>
      <c r="AS32" s="13">
        <f t="shared" ref="AS32:AT32" si="81">+AS16/AR16-1</f>
        <v>0.10000000000000009</v>
      </c>
      <c r="AT32" s="13">
        <f t="shared" si="81"/>
        <v>0.10000000000000009</v>
      </c>
      <c r="AW32" s="12" t="s">
        <v>87</v>
      </c>
      <c r="AX32" s="13">
        <v>0.04</v>
      </c>
    </row>
    <row r="33" spans="2:50" x14ac:dyDescent="0.25">
      <c r="B33" s="4" t="s">
        <v>37</v>
      </c>
      <c r="K33" s="3">
        <f>+K11/G11-1</f>
        <v>0.15672166080995353</v>
      </c>
      <c r="AI33" s="14">
        <f t="shared" ref="AI33:AO33" si="82">+AI11/AH11-1</f>
        <v>1.0438439860139863</v>
      </c>
      <c r="AJ33" s="14">
        <f t="shared" si="82"/>
        <v>0.12434398061142304</v>
      </c>
      <c r="AK33" s="14">
        <f t="shared" si="82"/>
        <v>0.19649839983364359</v>
      </c>
      <c r="AL33" s="14">
        <f t="shared" si="82"/>
        <v>0.2389258615573735</v>
      </c>
      <c r="AM33" s="14">
        <f t="shared" si="82"/>
        <v>0.25</v>
      </c>
      <c r="AN33" s="14">
        <f t="shared" si="82"/>
        <v>0.19999999999999996</v>
      </c>
      <c r="AO33" s="14">
        <f t="shared" si="82"/>
        <v>0.19999999999999996</v>
      </c>
      <c r="AP33" s="14">
        <f t="shared" ref="AP33:AR33" si="83">+AP11/AO11-1</f>
        <v>0.19999999999999996</v>
      </c>
      <c r="AQ33" s="14">
        <f t="shared" si="83"/>
        <v>0.19999999999999996</v>
      </c>
      <c r="AR33" s="14">
        <f t="shared" si="83"/>
        <v>0.19999999999999996</v>
      </c>
      <c r="AS33" s="14">
        <f t="shared" ref="AS33:AT33" si="84">+AS11/AR11-1</f>
        <v>0.10000000000000009</v>
      </c>
      <c r="AT33" s="14">
        <f t="shared" si="84"/>
        <v>0.10000000000000009</v>
      </c>
      <c r="AW33" t="s">
        <v>88</v>
      </c>
      <c r="AX33" s="14">
        <v>0.08</v>
      </c>
    </row>
    <row r="34" spans="2:50" x14ac:dyDescent="0.25">
      <c r="B34" t="s">
        <v>21</v>
      </c>
      <c r="G34" s="3">
        <f>+G18/G16</f>
        <v>0.56513194294829194</v>
      </c>
      <c r="K34" s="3">
        <f>+K18/K16</f>
        <v>0.52976471868683139</v>
      </c>
      <c r="AC34" s="14">
        <f t="shared" ref="AC34" si="85">+AC18/AC16</f>
        <v>0.55183620567842406</v>
      </c>
      <c r="AD34" s="14">
        <f t="shared" ref="AD34:AE34" si="86">+AD18/AD16</f>
        <v>0.53809107954691393</v>
      </c>
      <c r="AE34" s="14">
        <f t="shared" si="86"/>
        <v>0.56178635504913088</v>
      </c>
      <c r="AF34" s="14">
        <f t="shared" ref="AF34:AG34" si="87">+AF18/AF16</f>
        <v>0.55558226622649964</v>
      </c>
      <c r="AG34" s="14">
        <f t="shared" si="87"/>
        <v>0.54850957404543099</v>
      </c>
      <c r="AH34" s="14">
        <f t="shared" ref="AH34" si="88">+AH18/AH16</f>
        <v>0.52620745378634037</v>
      </c>
      <c r="AI34" s="14">
        <f>+AI18/AI16</f>
        <v>0.53799251320943231</v>
      </c>
      <c r="AJ34" s="14">
        <f>+AJ18/AJ16</f>
        <v>0.49178571428571427</v>
      </c>
      <c r="AK34" s="14">
        <f>+AK18/AK16</f>
        <v>0.49787535410764872</v>
      </c>
      <c r="AL34" s="14">
        <f>+AL18/AL16</f>
        <v>0.50360360360360357</v>
      </c>
      <c r="AM34" s="14">
        <f>+AM18/AM16</f>
        <v>0.5</v>
      </c>
      <c r="AN34" s="14">
        <f t="shared" ref="AN34:AO34" si="89">+AN18/AN16</f>
        <v>0.5</v>
      </c>
      <c r="AO34" s="14">
        <f t="shared" si="89"/>
        <v>0.5</v>
      </c>
      <c r="AW34" t="s">
        <v>89</v>
      </c>
      <c r="AX34" s="14">
        <v>0.1</v>
      </c>
    </row>
    <row r="35" spans="2:50" ht="13" x14ac:dyDescent="0.3">
      <c r="B35" t="s">
        <v>62</v>
      </c>
      <c r="G35" s="3"/>
      <c r="K35" s="3"/>
      <c r="AC35" s="14">
        <f t="shared" ref="AC35" si="90">+AC24/AC16</f>
        <v>-8.6516300984734354E-2</v>
      </c>
      <c r="AD35" s="14">
        <f t="shared" ref="AD35:AE35" si="91">+AD24/AD16</f>
        <v>-9.5458865230010667E-2</v>
      </c>
      <c r="AE35" s="14">
        <f t="shared" si="91"/>
        <v>-7.5979052552784351E-2</v>
      </c>
      <c r="AF35" s="14">
        <f t="shared" ref="AF35:AG35" si="92">+AF24/AF16</f>
        <v>-8.5648076971457349E-2</v>
      </c>
      <c r="AG35" s="14">
        <f t="shared" si="92"/>
        <v>-8.9436962867822434E-2</v>
      </c>
      <c r="AH35" s="14">
        <f t="shared" ref="AH35" si="93">+AH24/AH16</f>
        <v>3.0774288093050984E-2</v>
      </c>
      <c r="AI35" s="14">
        <f>+AI24/AI16</f>
        <v>5.8250517795872113E-2</v>
      </c>
      <c r="AJ35" s="14">
        <f>+AJ24/AJ16</f>
        <v>-0.1467857142857143</v>
      </c>
      <c r="AK35" s="14">
        <f>+AK24/AK16</f>
        <v>-1.1048158640226629E-2</v>
      </c>
      <c r="AL35" s="14">
        <f>+AL24/AL16</f>
        <v>0.12105855855855856</v>
      </c>
      <c r="AM35" s="14">
        <f>+AM24/AM16</f>
        <v>0.18478288288288286</v>
      </c>
      <c r="AN35" s="14">
        <f t="shared" ref="AN35:AO35" si="94">+AN24/AN16</f>
        <v>0.21105097597597594</v>
      </c>
      <c r="AO35" s="14">
        <f t="shared" si="94"/>
        <v>0.23513006131131126</v>
      </c>
      <c r="AW35" s="12" t="s">
        <v>90</v>
      </c>
      <c r="AX35" s="8">
        <f>NPV(AX33,AN28:EN28)+AM28+Main!M5-Main!M6</f>
        <v>258789.59924930651</v>
      </c>
    </row>
    <row r="36" spans="2:50" ht="13" x14ac:dyDescent="0.3">
      <c r="B36" t="s">
        <v>78</v>
      </c>
      <c r="G36" s="3"/>
      <c r="K36" s="3"/>
      <c r="AJ36" s="14"/>
      <c r="AK36" s="14"/>
      <c r="AL36" s="14"/>
      <c r="AM36" s="13">
        <f>+AM28/AL28-1</f>
        <v>0.53519956616052022</v>
      </c>
      <c r="AN36" s="13">
        <f t="shared" ref="AN36:AO36" si="95">+AN28/AM28-1</f>
        <v>0.24874852874060216</v>
      </c>
      <c r="AO36" s="13">
        <f t="shared" si="95"/>
        <v>0.72591390129324851</v>
      </c>
      <c r="AW36" t="s">
        <v>91</v>
      </c>
      <c r="AX36" s="1">
        <f>AX35/Main!M3</f>
        <v>199.86519558568216</v>
      </c>
    </row>
    <row r="37" spans="2:50" ht="13" x14ac:dyDescent="0.3">
      <c r="B37" t="s">
        <v>79</v>
      </c>
      <c r="G37" s="3"/>
      <c r="K37" s="3"/>
      <c r="AG37" s="15"/>
      <c r="AH37" s="15">
        <f t="shared" ref="AH37:AK37" si="96">+AH16/AH11</f>
        <v>3.4143251748251745E-2</v>
      </c>
      <c r="AI37" s="15">
        <f t="shared" si="96"/>
        <v>2.629908926466739E-2</v>
      </c>
      <c r="AJ37" s="15">
        <f t="shared" si="96"/>
        <v>2.8402318846460106E-2</v>
      </c>
      <c r="AK37" s="15">
        <f t="shared" si="96"/>
        <v>2.992666694926031E-2</v>
      </c>
      <c r="AL37" s="15">
        <f>+AL16/AL11</f>
        <v>3.0382345393892739E-2</v>
      </c>
      <c r="AM37" s="13"/>
      <c r="AN37" s="13"/>
      <c r="AO37" s="13"/>
    </row>
    <row r="39" spans="2:50" s="4" customFormat="1" x14ac:dyDescent="0.25">
      <c r="B39" s="4" t="s">
        <v>3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V39" s="4">
        <f>1498+3981+709+4647+642</f>
        <v>11477</v>
      </c>
      <c r="AL39" s="4">
        <f>1498+3981+709+4647+642</f>
        <v>11477</v>
      </c>
      <c r="AM39" s="4">
        <f t="shared" ref="AM39:AT39" si="97">+AL39+AM28</f>
        <v>13600.181</v>
      </c>
      <c r="AN39" s="4">
        <f t="shared" si="97"/>
        <v>16251.50015</v>
      </c>
      <c r="AO39" s="4">
        <f t="shared" si="97"/>
        <v>20827.448727750001</v>
      </c>
      <c r="AP39" s="4">
        <f t="shared" si="97"/>
        <v>26791.13004110875</v>
      </c>
      <c r="AQ39" s="4">
        <f t="shared" si="97"/>
        <v>34773.337511247992</v>
      </c>
      <c r="AR39" s="4">
        <f t="shared" si="97"/>
        <v>44779.046418848418</v>
      </c>
      <c r="AS39" s="4">
        <f t="shared" si="97"/>
        <v>56634.207584169213</v>
      </c>
      <c r="AT39" s="4">
        <f t="shared" si="97"/>
        <v>70604.740233533841</v>
      </c>
    </row>
    <row r="40" spans="2:50" s="4" customFormat="1" x14ac:dyDescent="0.25">
      <c r="B40" s="4" t="s">
        <v>49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V40" s="4">
        <v>342</v>
      </c>
      <c r="AL40" s="4">
        <v>342</v>
      </c>
    </row>
    <row r="41" spans="2:50" s="4" customFormat="1" x14ac:dyDescent="0.25">
      <c r="B41" s="4" t="s">
        <v>55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V41" s="4">
        <v>1224</v>
      </c>
      <c r="AL41" s="4">
        <v>1224</v>
      </c>
    </row>
    <row r="42" spans="2:50" s="4" customFormat="1" x14ac:dyDescent="0.25">
      <c r="B42" s="4" t="s">
        <v>56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V42" s="4">
        <v>209</v>
      </c>
      <c r="AL42" s="4">
        <v>209</v>
      </c>
    </row>
    <row r="43" spans="2:50" s="4" customFormat="1" x14ac:dyDescent="0.25">
      <c r="B43" s="4" t="s">
        <v>54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V43" s="4">
        <v>47</v>
      </c>
      <c r="AL43" s="4">
        <v>47</v>
      </c>
    </row>
    <row r="44" spans="2:50" s="4" customFormat="1" x14ac:dyDescent="0.25">
      <c r="B44" s="4" t="s">
        <v>53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V44" s="4">
        <v>93</v>
      </c>
      <c r="AL44" s="4">
        <v>93</v>
      </c>
    </row>
    <row r="45" spans="2:50" s="4" customFormat="1" x14ac:dyDescent="0.25">
      <c r="B45" s="4" t="s">
        <v>52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V45" s="4">
        <f>22+452</f>
        <v>474</v>
      </c>
      <c r="AL45" s="4">
        <f>22+452</f>
        <v>474</v>
      </c>
    </row>
    <row r="46" spans="2:50" s="4" customFormat="1" x14ac:dyDescent="0.25">
      <c r="B46" s="4" t="s">
        <v>50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V46" s="4">
        <f>37+21</f>
        <v>58</v>
      </c>
      <c r="AL46" s="4">
        <f>37+21</f>
        <v>58</v>
      </c>
    </row>
    <row r="47" spans="2:50" s="4" customFormat="1" x14ac:dyDescent="0.25">
      <c r="B47" s="4" t="s">
        <v>51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V47" s="4">
        <f>SUM(V39:V46)</f>
        <v>13924</v>
      </c>
      <c r="AL47" s="4">
        <f>SUM(AL39:AL46)</f>
        <v>13924</v>
      </c>
    </row>
    <row r="49" spans="2:38" s="4" customFormat="1" x14ac:dyDescent="0.25">
      <c r="B49" s="4" t="s">
        <v>61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V49" s="4">
        <f>737+73</f>
        <v>810</v>
      </c>
      <c r="AL49" s="4">
        <f>737+73</f>
        <v>810</v>
      </c>
    </row>
    <row r="50" spans="2:38" s="4" customFormat="1" x14ac:dyDescent="0.25">
      <c r="B50" s="4" t="s">
        <v>60</v>
      </c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V50" s="4">
        <f>147+283</f>
        <v>430</v>
      </c>
      <c r="AL50" s="4">
        <f>147+283</f>
        <v>430</v>
      </c>
    </row>
    <row r="51" spans="2:38" s="4" customFormat="1" x14ac:dyDescent="0.25">
      <c r="B51" s="4" t="s">
        <v>59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V51" s="4">
        <f>18+190</f>
        <v>208</v>
      </c>
      <c r="AL51" s="4">
        <f>18+190</f>
        <v>208</v>
      </c>
    </row>
    <row r="52" spans="2:38" s="4" customFormat="1" x14ac:dyDescent="0.25">
      <c r="B52" s="4" t="s">
        <v>4</v>
      </c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V52" s="4">
        <v>918</v>
      </c>
      <c r="AL52" s="4">
        <v>918</v>
      </c>
    </row>
    <row r="53" spans="2:38" s="4" customFormat="1" x14ac:dyDescent="0.25">
      <c r="B53" s="4" t="s">
        <v>58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V53" s="4">
        <v>11558</v>
      </c>
      <c r="AL53" s="4">
        <v>11558</v>
      </c>
    </row>
    <row r="54" spans="2:38" s="4" customFormat="1" x14ac:dyDescent="0.25">
      <c r="B54" s="4" t="s">
        <v>57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V54" s="4">
        <f>SUM(V49:V53)</f>
        <v>13924</v>
      </c>
      <c r="AL54" s="4">
        <f>SUM(AL49:AL53)</f>
        <v>13924</v>
      </c>
    </row>
    <row r="56" spans="2:38" x14ac:dyDescent="0.25">
      <c r="B56" s="4" t="s">
        <v>63</v>
      </c>
      <c r="AL56" s="4">
        <f>AL28</f>
        <v>1383</v>
      </c>
    </row>
    <row r="57" spans="2:38" s="4" customFormat="1" x14ac:dyDescent="0.25">
      <c r="B57" s="4" t="s">
        <v>64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AL57" s="4">
        <v>2019</v>
      </c>
    </row>
    <row r="58" spans="2:38" x14ac:dyDescent="0.25">
      <c r="B58" s="4" t="s">
        <v>68</v>
      </c>
      <c r="AL58">
        <v>36</v>
      </c>
    </row>
    <row r="59" spans="2:38" x14ac:dyDescent="0.25">
      <c r="B59" s="4" t="s">
        <v>69</v>
      </c>
      <c r="AL59">
        <v>430</v>
      </c>
    </row>
    <row r="60" spans="2:38" x14ac:dyDescent="0.25">
      <c r="B60" s="4" t="s">
        <v>70</v>
      </c>
      <c r="AL60">
        <v>148</v>
      </c>
    </row>
    <row r="61" spans="2:38" x14ac:dyDescent="0.25">
      <c r="B61" s="4" t="s">
        <v>72</v>
      </c>
      <c r="AL61">
        <v>78</v>
      </c>
    </row>
    <row r="62" spans="2:38" x14ac:dyDescent="0.25">
      <c r="B62" s="4" t="s">
        <v>71</v>
      </c>
      <c r="AL62">
        <v>-94</v>
      </c>
    </row>
    <row r="63" spans="2:38" x14ac:dyDescent="0.25">
      <c r="B63" t="s">
        <v>67</v>
      </c>
      <c r="AL63">
        <v>-992</v>
      </c>
    </row>
    <row r="64" spans="2:38" x14ac:dyDescent="0.25">
      <c r="B64" s="4" t="s">
        <v>73</v>
      </c>
      <c r="AL64">
        <v>138</v>
      </c>
    </row>
    <row r="65" spans="2:38" x14ac:dyDescent="0.25">
      <c r="B65" s="4" t="s">
        <v>74</v>
      </c>
      <c r="AL65">
        <v>19</v>
      </c>
    </row>
    <row r="66" spans="2:38" x14ac:dyDescent="0.25">
      <c r="B66" t="s">
        <v>66</v>
      </c>
      <c r="AL66">
        <f>-148-82-72+110+26</f>
        <v>-166</v>
      </c>
    </row>
    <row r="67" spans="2:38" x14ac:dyDescent="0.25">
      <c r="B67" t="s">
        <v>65</v>
      </c>
      <c r="S67">
        <v>238</v>
      </c>
      <c r="T67">
        <v>340</v>
      </c>
      <c r="W67">
        <v>367</v>
      </c>
      <c r="X67">
        <v>428</v>
      </c>
      <c r="AL67" s="4">
        <f>SUM(AL57:AL66)</f>
        <v>1616</v>
      </c>
    </row>
    <row r="69" spans="2:38" x14ac:dyDescent="0.25">
      <c r="B69" t="s">
        <v>75</v>
      </c>
      <c r="S69">
        <v>6</v>
      </c>
      <c r="T69">
        <v>7</v>
      </c>
      <c r="W69">
        <v>4</v>
      </c>
      <c r="X69">
        <v>6</v>
      </c>
      <c r="AL69">
        <v>19</v>
      </c>
    </row>
    <row r="72" spans="2:38" x14ac:dyDescent="0.25">
      <c r="B72" t="s">
        <v>76</v>
      </c>
      <c r="S72">
        <f>+S67-S69</f>
        <v>232</v>
      </c>
      <c r="T72">
        <f>+T67-T69</f>
        <v>333</v>
      </c>
      <c r="W72">
        <f>+W67-W69</f>
        <v>363</v>
      </c>
      <c r="X72">
        <f>+X67-X69</f>
        <v>422</v>
      </c>
      <c r="AL72" s="4">
        <f>+AL67-AL69</f>
        <v>1597</v>
      </c>
    </row>
  </sheetData>
  <hyperlinks>
    <hyperlink ref="A1" location="Main!A1" display="Main" xr:uid="{102272EF-3934-4689-9338-D50328FA648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2022-07-26T13:15:08Z</dcterms:created>
  <dcterms:modified xsi:type="dcterms:W3CDTF">2025-08-06T14:27:00Z</dcterms:modified>
</cp:coreProperties>
</file>