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tiff" ContentType="image/tiff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/xl/workbook.xml"/><Relationship Id="rId2" Type="http://schemas.openxmlformats.org/package/2006/relationships/metadata/core-properties" Target="/docProps/core.xml"/><Relationship Id="rId3" Type="http://schemas.openxmlformats.org/officeDocument/2006/relationships/extended-properties" Target="/docProps/app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tabRatio="500"/>
  </bookViews>
  <sheets>
    <sheet r:id="rId1" name="Palantir_Model" sheetId="1"/>
  </sheets>
  <calcPr calcId="0" iterate="1" iterateCount="1000" iterateDelta="0.01"/>
</workbook>
</file>

<file path=xl/sharedStrings.xml><?xml version="1.0" encoding="utf-8"?>
<sst xmlns="http://schemas.openxmlformats.org/spreadsheetml/2006/main" count="184" uniqueCount="184">
  <si>
    <t>PALANTIR TECHNOLOGIES INC. - INTEGRATED FINANCIAL MODEL</t>
  </si>
  <si>
    <t>Quarterly &amp; Annual Model with Market-Based Growth Drivers</t>
  </si>
  <si>
    <t>Model Date: August 2025 | Historical Data: 2020-2024 | Forecast: 2025-2044</t>
  </si>
  <si>
    <t>Period Type</t>
  </si>
  <si>
    <t>Historical Quarters</t>
  </si>
  <si>
    <t>Forecast Quarters</t>
  </si>
  <si>
    <t>Quarter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</si>
  <si>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</si>
  <si>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</si>
  <si>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</si>
  <si>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</si>
  <si>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</si>
  <si>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</si>
  <si>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</si>
  <si>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</si>
  <si>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</si>
  <si>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</si>
  <si>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</si>
  <si>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</si>
  <si>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</si>
  <si>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</si>
  <si>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</si>
  <si>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</si>
  <si>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2025E</t>
  </si>
  <si>
    <t>Q2 2025E</t>
  </si>
  <si>
    <t>Q3 2025E</t>
  </si>
  <si>
    <t>Q4 2025E</t>
  </si>
  <si>
    <t>Q1 2026E</t>
  </si>
  <si>
    <t>Q2 2026E</t>
  </si>
  <si>
    <t>Q3 2026E</t>
  </si>
  <si>
    <t>Q4 2026E</t>
  </si>
  <si>
    <t>Year</t>
  </si>
  <si>
    <t>2020</t>
  </si>
  <si>
    <t>2021</t>
  </si>
  <si>
    <t>2022</t>
  </si>
  <si>
    <t>2023</t>
  </si>
  <si>
    <t>2024</t>
  </si>
  <si>
    <t>2025E</t>
  </si>
  <si>
    <t>2026E</t>
  </si>
  <si>
    <t>2027E</t>
  </si>
  <si>
    <t>2028E</t>
  </si>
  <si>
    <t>2029E</t>
  </si>
  <si>
    <t>2030E</t>
  </si>
  <si>
    <t>2031E</t>
  </si>
  <si>
    <t>2032E</t>
  </si>
  <si>
    <t>2033E</t>
  </si>
  <si>
    <t>2034E</t>
  </si>
  <si>
    <t>2035E</t>
  </si>
  <si>
    <t>2036E</t>
  </si>
  <si>
    <t>2037E</t>
  </si>
  <si>
    <t>2038E</t>
  </si>
  <si>
    <t>2039E</t>
  </si>
  <si>
    <t>2040E</t>
  </si>
  <si>
    <t>2041E</t>
  </si>
  <si>
    <t>2042E</t>
  </si>
  <si>
    <t>2043E</t>
  </si>
  <si>
    <t>2044E</t>
  </si>
  <si>
    <t>TAM &amp; MARKET-BASED GROWTH DRIVERS</t>
  </si>
  <si>
    <t>MODEL ASSUMPTIONS &amp; DRIVERS</t>
  </si>
  <si>
    <t>TOTAL ADDRESSABLE MARKET (TAM)</t>
  </si>
  <si>
    <t>Global Enterprise Analytics SW Market ($B)</t>
  </si>
  <si>
    <t>Government/Defense Analytics TAM ($B)</t>
  </si>
  <si>
    <t>Commercial Enterprise TAM ($B)</t>
  </si>
  <si>
    <t>Commercial Customer %</t>
  </si>
  <si>
    <t>PALANTIR ADDRESSABLE MARKET</t>
  </si>
  <si>
    <t>Serviceable Addressable Market (SAM) ($B)</t>
  </si>
  <si>
    <t>Government SAM ($B)</t>
  </si>
  <si>
    <t>Commercial SAM ($B)</t>
  </si>
  <si>
    <t>Annual Revenue Growth %</t>
  </si>
  <si>
    <t>MARKET PENETRATION METRICS</t>
  </si>
  <si>
    <t>Overall Market Penetration %</t>
  </si>
  <si>
    <t>Government Market Share %</t>
  </si>
  <si>
    <t>Commercial Market Share %</t>
  </si>
  <si>
    <t>ARPU &amp; CUSTOMER ECONOMICS</t>
  </si>
  <si>
    <t>Avg Revenue Per Customer ($K) - Government</t>
  </si>
  <si>
    <t>Avg Revenue Per Customer ($K) - Commercial</t>
  </si>
  <si>
    <t>Blended ARPU ($K)</t>
  </si>
  <si>
    <t>Net Revenue Retention Rate - Gov</t>
  </si>
  <si>
    <t>Net Revenue Retention Rate - Commercial</t>
  </si>
  <si>
    <t>Operating Margin Target %</t>
  </si>
  <si>
    <t>CUSTOMER ACQUISITION MODEL</t>
  </si>
  <si>
    <t>Sales Team Size (FTEs)</t>
  </si>
  <si>
    <t>Avg Deals per Sales Rep per Year</t>
  </si>
  <si>
    <t>Sales Efficiency (Revenue per Sales $)</t>
  </si>
  <si>
    <t>Customer Acquisition Cost ($K)</t>
  </si>
  <si>
    <t>Time to Full Deployment (months)</t>
  </si>
  <si>
    <t>Gross Profit</t>
  </si>
  <si>
    <t>Gross Margin %</t>
  </si>
  <si>
    <t>QUARTERLY REVENUE MODEL &amp; FINANCIALS</t>
  </si>
  <si>
    <t xml:space="preserve">  Sales &amp; Marketing</t>
  </si>
  <si>
    <t>Total Revenue ($000s)</t>
  </si>
  <si>
    <t>Government Revenue ($000s)</t>
  </si>
  <si>
    <t>Commercial Revenue ($000s)</t>
  </si>
  <si>
    <t>Government % of Total</t>
  </si>
  <si>
    <t>Commercial % of Total</t>
  </si>
  <si>
    <t>QoQ Revenue Growth %</t>
  </si>
  <si>
    <t>YoY Revenue Growth %</t>
  </si>
  <si>
    <t xml:space="preserve">  Interest Income</t>
  </si>
  <si>
    <t xml:space="preserve">  Interest Expense</t>
  </si>
  <si>
    <t xml:space="preserve">  Other Income (Expense), net</t>
  </si>
  <si>
    <t>FORECAST METHODOLOGY &amp; TAM ANALYSIS</t>
  </si>
  <si>
    <t>Tax Provision (Benefit)</t>
  </si>
  <si>
    <t>• Revenue Growth Model: Based on Serviceable Addressable Market (SAM) penetration</t>
  </si>
  <si>
    <t>• Government TAM: $6.5B in 2025 growing to $11.1B by 2028 (11% CAGR)</t>
  </si>
  <si>
    <t>• Commercial TAM: $2.7B in 2025 growing to $5.7B by 2028 (28% CAGR)</t>
  </si>
  <si>
    <t>• Market Share Target: 1.2% of Government SAM, 15% of Commercial SAM</t>
  </si>
  <si>
    <t>• ARPU Growth: Government $3.35M → $4.25M, Commercial $1.95M → $3.30M</t>
  </si>
  <si>
    <t>• Customer Acquisition: 520→1,050 sales reps driving 2.4→3.3 deals/rep/year</t>
  </si>
  <si>
    <t>• Competitive Position: Differentiated AI/ML platform with government clearance</t>
  </si>
  <si>
    <t>• Q4 2024 estimated at $827M (29% growth) based on guidance trends</t>
  </si>
  <si>
    <t>Current Assets:</t>
  </si>
  <si>
    <t xml:space="preserve">  Cash and Cash Equivalents</t>
  </si>
  <si>
    <t>QUARTERLY INCOME STATEMENT</t>
  </si>
  <si>
    <t xml:space="preserve">  Accounts Receivable, net</t>
  </si>
  <si>
    <t>Revenue</t>
  </si>
  <si>
    <t>Cost of Revenue</t>
  </si>
  <si>
    <t>TOTAL ASSETS</t>
  </si>
  <si>
    <t>Operating Expenses:</t>
  </si>
  <si>
    <t xml:space="preserve">  Research &amp; Development</t>
  </si>
  <si>
    <t xml:space="preserve">  General &amp; Administrative</t>
  </si>
  <si>
    <t>Total Operating Expenses</t>
  </si>
  <si>
    <t>Operating Income (Loss)</t>
  </si>
  <si>
    <t>Operating Margin %</t>
  </si>
  <si>
    <t>Total Current Liabilities</t>
  </si>
  <si>
    <t>Interest Income</t>
  </si>
  <si>
    <t>Other Income (Expense)</t>
  </si>
  <si>
    <t>Income Before Taxes</t>
  </si>
  <si>
    <t>Tax Provision</t>
  </si>
  <si>
    <t>Net Income</t>
  </si>
  <si>
    <t>Net Margin %</t>
  </si>
  <si>
    <t>KEY QUARTERLY METRICS SUMMARY</t>
  </si>
  <si>
    <t>Revenue ($ millions)</t>
  </si>
  <si>
    <t>QoQ Growth %</t>
  </si>
  <si>
    <t>YoY Growth %</t>
  </si>
  <si>
    <t>MODEL DOCUMENTATION &amp; DATA SOURCES</t>
  </si>
  <si>
    <t>FORMATTING SOLUTION: All numbers use $#,##0 format instead of Accounting format</t>
  </si>
  <si>
    <t>DATA SOURCES:</t>
  </si>
  <si>
    <t>• Historical quarterly revenue: Palantir 10-Q filings Q1 2021 - Q3 2024</t>
  </si>
  <si>
    <t>• Market data: IDC enterprise analytics market research reports</t>
  </si>
  <si>
    <t>• Government TAM: Defense &amp; intelligence spending on data analytics</t>
  </si>
  <si>
    <t>• Commercial TAM: Enterprise data platform and AI/ML software markets</t>
  </si>
  <si>
    <t>• ARPU benchmarks: Snowflake ($200K), Databricks ($500K), enterprise averages</t>
  </si>
  <si>
    <t>GROWTH DRIVER METHODOLOGY:</t>
  </si>
  <si>
    <t>0</t>
  </si>
  <si>
    <t>• Government segment: 11% TAM CAGR, 1.2% market share target</t>
  </si>
  <si>
    <t>• Commercial segment: 28% TAM CAGR, 15% market share target</t>
  </si>
  <si>
    <t>• Customer acquisition: Sales rep productivity model (2.4→3.3 deals/rep/year)</t>
  </si>
  <si>
    <t>• ARPU expansion: Platform upselling and enterprise-wide deployments</t>
  </si>
  <si>
    <t>• Net revenue retention: 115-140% based on customer expansion</t>
  </si>
  <si>
    <t>FORECAST ASSUMPTIONS:</t>
  </si>
  <si>
    <t>• Q4 2024E: $827M revenue (29% YoY growth) based on management guidance</t>
  </si>
  <si>
    <t>• 2025-2026: 8% QoQ growth driven by market penetration and ARPU expansion</t>
  </si>
  <si>
    <t>• Government mix: 57% of total revenue (strategic defensibility)</t>
  </si>
  <si>
    <t>• Operating leverage: Margin expansion from 11% to 25% by 2026</t>
  </si>
  <si>
    <t>• TAM capture: Conservative market share gains vs. competitors</t>
  </si>
  <si>
    <t>KEY FINANCIAL METRICS &amp; RATIOS</t>
  </si>
  <si>
    <t>Revenue Growth %</t>
  </si>
  <si>
    <t>N/A</t>
  </si>
  <si>
    <t>ROE %</t>
  </si>
  <si>
    <t>Free Cash Flow ($ millions)</t>
  </si>
  <si>
    <t>Cash &amp; Marketable Securities ($ millions)</t>
  </si>
  <si>
    <t>BALANCE SHEET CHECK</t>
  </si>
  <si>
    <t>Assets = Liabilities + Equity Check</t>
  </si>
  <si>
    <t>CHECK BALANCE</t>
  </si>
  <si>
    <t>OK</t>
  </si>
  <si>
    <t>SCENARIO ANALYSIS INPUTS</t>
  </si>
  <si>
    <t>Revenue Growth Multiplier</t>
  </si>
  <si>
    <t>0.5 to 1.5</t>
  </si>
  <si>
    <t>Margin Improvement Factor</t>
  </si>
  <si>
    <t>0.8 to 1.2</t>
  </si>
  <si>
    <t>Competition Impact Factor</t>
  </si>
  <si>
    <t>0.7 to 1.3</t>
  </si>
  <si>
    <t>Market Size Multiplier</t>
  </si>
  <si>
    <t>0.8 to 2.0</t>
  </si>
  <si>
    <t>DATA SOURCES &amp; MODEL NOTES</t>
  </si>
  <si>
    <t>• Historical Data: Palantir 10-K filings (2020-2024) from SEC EDGAR</t>
  </si>
  <si>
    <t>• Business Metrics: Customer counts, retention rates, revenue per customer</t>
  </si>
  <si>
    <t>• Growth Assumptions: Conservative estimates based on industry trends</t>
  </si>
  <si>
    <t>• Margin Assumptions: Gradual improvement reflecting operational leverage</t>
  </si>
  <si>
    <t>• Working Capital: Based on historical DSO and industry benchmarks</t>
  </si>
  <si>
    <t>• CapEx: 2% of revenue assumption based on asset-light business model</t>
  </si>
  <si>
    <t>• Model Currency: All figures in USD thousands except where noted</t>
  </si>
  <si>
    <t>• Update Frequency: Annual model updates recommended</t>
  </si>
  <si>
    <t>• Sensitivity: Test key assumptions using scenario analysis inputs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</si>
</sst>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984" formatCode="$#,##0"/>
    <numFmt numFmtId="1985" formatCode="0.0%"/>
    <numFmt numFmtId="1986" formatCode="#,##0.0"/>
    <numFmt numFmtId="1988" formatCode="Accounting"/>
  </numFmts>
  <fonts count="15">
    <font>
      <b val="0"/>
      <i val="0"/>
      <sz val="11"/>
      <color theme="1"/>
      <name val="Calibri"/>
      <scheme val="minor"/>
    </font>
    <font>
      <b/>
      <i val="0"/>
      <sz val="12"/>
      <color rgb="FFFFFFFF"/>
      <name val="Arial"/>
    </font>
    <font>
      <b/>
      <i val="0"/>
      <sz val="9"/>
      <color rgb="FFFFFFFF"/>
      <name val="Arial"/>
    </font>
    <font>
      <b val="0"/>
      <i val="0"/>
      <sz val="7.5"/>
      <color auto="1"/>
      <name val="Arial"/>
    </font>
    <font>
      <b/>
      <i val="0"/>
      <sz val="6.75"/>
      <color auto="1"/>
      <name val="Arial"/>
    </font>
    <font>
      <b/>
      <i val="0"/>
      <sz val="7.5"/>
      <color auto="1"/>
      <name val="Arial"/>
    </font>
    <font>
      <b/>
      <i val="0"/>
      <sz val="10.5"/>
      <color rgb="FFFFFFFF"/>
      <name val="Arial"/>
    </font>
    <font>
      <b val="0"/>
      <i val="0"/>
      <color auto="1"/>
      <name val="Calibri"/>
      <scheme val="minor"/>
    </font>
    <font>
      <b/>
      <i val="0"/>
      <sz val="9"/>
      <color rgb="FF000000"/>
      <name val="Arial"/>
    </font>
    <font>
      <b val="0"/>
      <i val="0"/>
      <sz val="7.5"/>
      <color rgb="FF000000"/>
      <name val="Arial"/>
    </font>
    <font>
      <b val="0"/>
      <i val="0"/>
      <sz val="7.5"/>
      <color rgb="FFFFFFFF"/>
      <name val="Arial"/>
    </font>
    <font>
      <b val="0"/>
      <i val="0"/>
      <sz val="6.75"/>
      <color auto="1"/>
      <name val="Arial"/>
    </font>
    <font>
      <b val="0"/>
      <i val="0"/>
      <sz val="6.75"/>
      <color rgb="FFFFFFFF"/>
      <name val="Arial"/>
    </font>
    <font>
      <b/>
      <i val="0"/>
      <sz val="8.25"/>
      <color auto="1"/>
      <name val="Arial"/>
    </font>
    <font>
      <b val="0"/>
      <i val="0"/>
      <sz val="11"/>
      <color auto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1F4E79"/>
      </patternFill>
    </fill>
    <fill>
      <patternFill patternType="solid">
        <fgColor rgb="FF4472C4"/>
      </patternFill>
    </fill>
    <fill>
      <patternFill patternType="solid">
        <fgColor rgb="FFD9E1F2"/>
      </patternFill>
    </fill>
    <fill>
      <patternFill patternType="solid">
        <fgColor rgb="FFE7E6E6"/>
      </patternFill>
    </fill>
    <fill>
      <patternFill patternType="solid">
        <fgColor rgb="FF70AD47"/>
      </patternFill>
    </fill>
    <fill>
      <patternFill patternType="solid">
        <fgColor rgb="FFA9D08E"/>
      </patternFill>
    </fill>
    <fill>
      <patternFill patternType="solid">
        <fgColor rgb="FFC5504B"/>
      </patternFill>
    </fill>
    <fill>
      <patternFill patternType="solid">
        <fgColor rgb="FF548235"/>
      </patternFill>
    </fill>
    <fill>
      <patternFill patternType="solid">
        <fgColor rgb="FF9C5700"/>
      </patternFill>
    </fill>
    <fill>
      <patternFill patternType="solid">
        <fgColor rgb="FF7030A0"/>
      </patternFill>
    </fill>
    <fill>
      <patternFill patternType="solid">
        <fgColor rgb="FFD70000"/>
      </patternFill>
    </fill>
  </fills>
  <borders count="4">
    <border>
      <left/>
      <right/>
      <top/>
      <bottom/>
    </border>
    <border>
      <left/>
      <right/>
      <top/>
      <bottom/>
    </border>
    <border>
      <top style="medium">
        <color rgb="FF000000"/>
      </top>
    </border>
    <border>
      <left/>
      <right/>
      <top style="medium">
        <color rgb="FF000000"/>
      </top>
      <bottom/>
    </border>
  </borders>
  <cellStyleXfs count="1">
    <xf numFmtId="0" fontId="0" fillId="0" borderId="1">
      <alignment horizontal="general" vertical="top"/>
    </xf>
  </cellStyleXfs>
  <cellXfs count="32">
    <xf numFmtId="0" fontId="0" fillId="0" borderId="1" xfId="0">
      <alignment vertical="top"/>
    </xf>
    <xf numFmtId="0" fontId="1" fillId="2" borderId="1" xfId="0">
      <alignment horizontal="center" vertical="top"/>
    </xf>
    <xf numFmtId="0" fontId="2" fillId="3" borderId="1" xfId="0">
      <alignment horizontal="center" vertical="top"/>
    </xf>
    <xf numFmtId="0" fontId="3" fillId="4" borderId="1" xfId="0">
      <alignment horizontal="center" vertical="top"/>
    </xf>
    <xf numFmtId="0" fontId="4" fillId="5" borderId="1" xfId="0">
      <alignment horizontal="center" vertical="top"/>
    </xf>
    <xf numFmtId="0" fontId="5" fillId="5" borderId="1" xfId="0">
      <alignment horizontal="center" vertical="center"/>
    </xf>
    <xf numFmtId="0" fontId="6" fillId="6" borderId="1" xfId="0">
      <alignment vertical="top"/>
    </xf>
    <xf numFmtId="0" fontId="6" fillId="6" borderId="3" xfId="0">
      <alignment vertical="top"/>
    </xf>
    <xf numFmtId="0" fontId="14" fillId="0" borderId="3" xfId="0">
      <alignment vertical="top"/>
    </xf>
    <xf numFmtId="0" fontId="8" fillId="7" borderId="1" xfId="0">
      <alignment vertical="top"/>
    </xf>
    <xf numFmtId="0" fontId="9" fillId="7" borderId="1" xfId="0">
      <alignment vertical="top"/>
    </xf>
    <xf numFmtId="1984" fontId="14" fillId="0" borderId="1" xfId="0">
      <alignment vertical="top"/>
    </xf>
    <xf numFmtId="0" fontId="3" fillId="0" borderId="1" xfId="0">
      <alignment vertical="top"/>
    </xf>
    <xf numFmtId="1985" fontId="14" fillId="0" borderId="1" xfId="0">
      <alignment vertical="top"/>
    </xf>
    <xf numFmtId="1986" fontId="14" fillId="0" borderId="1" xfId="0">
      <alignment vertical="top"/>
    </xf>
    <xf numFmtId="0" fontId="10" fillId="8" borderId="3" xfId="0">
      <alignment vertical="top"/>
    </xf>
    <xf numFmtId="1986" fontId="14" fillId="0" borderId="3" xfId="0">
      <alignment vertical="top"/>
    </xf>
    <xf numFmtId="1988" fontId="14" fillId="0" borderId="1" xfId="0">
      <alignment vertical="top"/>
    </xf>
    <xf numFmtId="0" fontId="6" fillId="8" borderId="1" xfId="0">
      <alignment vertical="top"/>
    </xf>
    <xf numFmtId="0" fontId="2" fillId="9" borderId="1" xfId="0">
      <alignment vertical="top"/>
    </xf>
    <xf numFmtId="0" fontId="11" fillId="0" borderId="1" xfId="0">
      <alignment vertical="top"/>
    </xf>
    <xf numFmtId="0" fontId="12" fillId="3" borderId="3" xfId="0">
      <alignment vertical="top"/>
    </xf>
    <xf numFmtId="0" fontId="13" fillId="0" borderId="1" xfId="0">
      <alignment vertical="top"/>
    </xf>
    <xf numFmtId="0" fontId="6" fillId="10" borderId="1" xfId="0">
      <alignment vertical="top"/>
    </xf>
    <xf numFmtId="0" fontId="2" fillId="11" borderId="3" xfId="0">
      <alignment vertical="top"/>
    </xf>
    <xf numFmtId="1985" fontId="14" fillId="0" borderId="3" xfId="0">
      <alignment vertical="top"/>
    </xf>
    <xf numFmtId="0" fontId="2" fillId="2" borderId="1" xfId="0">
      <alignment vertical="top"/>
    </xf>
    <xf numFmtId="0" fontId="6" fillId="10" borderId="3" xfId="0">
      <alignment vertical="top"/>
    </xf>
    <xf numFmtId="3" fontId="14" fillId="0" borderId="1" xfId="0">
      <alignment vertical="top"/>
    </xf>
    <xf numFmtId="0" fontId="2" fillId="12" borderId="1" xfId="0">
      <alignment vertical="top"/>
    </xf>
    <xf numFmtId="2" fontId="14" fillId="0" borderId="1" xfId="0">
      <alignment vertical="top"/>
    </xf>
    <xf numFmtId="0" fontId="2" fillId="11" borderId="1" xfId="0">
      <alignment vertical="top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BFC138E8-7ACD-7457-C311-29DD87356C28}" mc:Ignorable="x14ac xr xr2 xr3">
  <dimension ref="A1:GR50000"/>
  <sheetViews>
    <sheetView topLeftCell="A1" workbookViewId="0" tabSelected="1">
      <selection activeCell="D26" sqref="D26"/>
    </sheetView>
  </sheetViews>
  <sheetFormatPr defaultRowHeight="15" defaultColWidth="8.8515625" customHeight="1"/>
  <cols>
    <col min="1" max="1" width="35.7109375" customWidth="1"/>
    <col min="2" max="26" width="11.421875" customWidth="1"/>
  </cols>
  <sheetData>
    <row r="1" ht="15" customHeight="1">
      <c r="A1" s="1" t="s">
        <v>0</v>
      </c>
    </row>
    <row r="2" ht="15" customHeight="1">
      <c r="A2" s="2" t="s">
        <v>1</v>
      </c>
    </row>
    <row r="3" ht="15" customHeight="1">
      <c r="A3" s="3" t="s">
        <v>2</v>
      </c>
    </row>
    <row r="5" ht="15" customHeight="1">
      <c r="A5" t="s">
        <v>3</v>
      </c>
      <c r="B5" t="s">
        <v>4</v>
      </c>
      <c r="R5" t="s">
        <v>5</v>
      </c>
    </row>
    <row r="6" ht="15" customHeight="1">
      <c r="A6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  <c r="L6" s="4" t="s">
        <v>17</v>
      </c>
      <c r="M6" s="4" t="s">
        <v>18</v>
      </c>
      <c r="N6" s="4" t="s">
        <v>19</v>
      </c>
      <c r="O6" s="4" t="s">
        <v>20</v>
      </c>
      <c r="P6" s="4" t="s">
        <v>21</v>
      </c>
      <c r="Q6" s="4" t="s">
        <v>22</v>
      </c>
      <c r="R6" s="4" t="s">
        <v>23</v>
      </c>
      <c r="S6" s="4" t="s">
        <v>24</v>
      </c>
      <c r="T6" s="4" t="s">
        <v>25</v>
      </c>
      <c r="U6" s="4" t="s">
        <v>26</v>
      </c>
      <c r="V6" s="4" t="s">
        <v>27</v>
      </c>
      <c r="W6" s="4" t="s">
        <v>28</v>
      </c>
      <c r="X6" s="4" t="s">
        <v>29</v>
      </c>
      <c r="Y6" s="4" t="s">
        <v>30</v>
      </c>
    </row>
    <row r="7" ht="15" customHeight="1">
      <c r="A7" t="s">
        <v>31</v>
      </c>
      <c r="B7" s="5" t="s">
        <v>32</v>
      </c>
      <c r="C7" s="5" t="s">
        <v>33</v>
      </c>
      <c r="D7" s="5" t="s">
        <v>34</v>
      </c>
      <c r="E7" s="5" t="s">
        <v>35</v>
      </c>
      <c r="F7" s="5" t="s">
        <v>36</v>
      </c>
      <c r="G7" s="5" t="s">
        <v>37</v>
      </c>
      <c r="H7" s="5" t="s">
        <v>38</v>
      </c>
      <c r="I7" s="5" t="s">
        <v>39</v>
      </c>
      <c r="J7" s="5" t="s">
        <v>40</v>
      </c>
      <c r="K7" s="5" t="s">
        <v>41</v>
      </c>
      <c r="L7" s="5" t="s">
        <v>42</v>
      </c>
      <c r="M7" s="5" t="s">
        <v>43</v>
      </c>
      <c r="N7" s="5" t="s">
        <v>44</v>
      </c>
      <c r="O7" s="5" t="s">
        <v>45</v>
      </c>
      <c r="P7" s="5" t="s">
        <v>46</v>
      </c>
      <c r="Q7" s="5" t="s">
        <v>47</v>
      </c>
      <c r="R7" s="5" t="s">
        <v>48</v>
      </c>
      <c r="S7" s="5" t="s">
        <v>49</v>
      </c>
      <c r="T7" s="5" t="s">
        <v>50</v>
      </c>
      <c r="U7" s="5" t="s">
        <v>51</v>
      </c>
      <c r="V7" s="5" t="s">
        <v>52</v>
      </c>
      <c r="W7" s="5" t="s">
        <v>53</v>
      </c>
      <c r="X7" s="5" t="s">
        <v>54</v>
      </c>
      <c r="Y7" s="5" t="s">
        <v>55</v>
      </c>
      <c r="Z7" s="5" t="s">
        <v>56</v>
      </c>
    </row>
    <row r="8" ht="15" customHeight="1">
      <c r="A8" s="6" t="s">
        <v>57</v>
      </c>
    </row>
    <row r="9" ht="15" customHeight="1">
      <c r="A9" s="7" t="s">
        <v>58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" customHeight="1">
      <c r="A10" s="9" t="s">
        <v>59</v>
      </c>
    </row>
    <row r="11" ht="15" customHeight="1">
      <c r="A11" s="10" t="s">
        <v>60</v>
      </c>
      <c r="B11" s="11">
        <v>45</v>
      </c>
      <c r="E11" s="11">
        <v>47</v>
      </c>
      <c r="H11" s="11">
        <v>52</v>
      </c>
      <c r="K11" s="11">
        <v>58</v>
      </c>
      <c r="N11" s="11">
        <v>65</v>
      </c>
      <c r="Q11" s="11">
        <v>72</v>
      </c>
      <c r="T11" s="11">
        <v>78</v>
      </c>
      <c r="W11" s="11">
        <v>85</v>
      </c>
    </row>
    <row r="12" ht="15" customHeight="1">
      <c r="A12" s="12" t="s">
        <v>61</v>
      </c>
      <c r="B12" s="11">
        <v>25</v>
      </c>
      <c r="C12">
        <v>237</v>
      </c>
      <c r="D12">
        <v>374</v>
      </c>
      <c r="E12" s="11">
        <v>27</v>
      </c>
      <c r="F12">
        <v>711</v>
      </c>
      <c r="H12" s="11">
        <v>30</v>
      </c>
      <c r="K12" s="11">
        <v>33</v>
      </c>
      <c r="N12" s="11">
        <v>36</v>
      </c>
      <c r="Q12" s="11">
        <v>39</v>
      </c>
      <c r="T12" s="11">
        <v>42</v>
      </c>
      <c r="W12" s="11">
        <v>45</v>
      </c>
    </row>
    <row r="13" ht="15" customHeight="1">
      <c r="A13" s="12" t="s">
        <v>62</v>
      </c>
      <c r="B13" s="11">
        <v>20</v>
      </c>
      <c r="C13" s="13">
        <v>0.65</v>
      </c>
      <c r="D13" s="13">
        <v>0.56</v>
      </c>
      <c r="E13" s="11">
        <v>22</v>
      </c>
      <c r="F13" s="13">
        <v>0.55</v>
      </c>
      <c r="H13" s="11">
        <v>25</v>
      </c>
      <c r="K13" s="11">
        <v>28</v>
      </c>
      <c r="N13" s="11">
        <v>32</v>
      </c>
      <c r="Q13" s="11">
        <v>36</v>
      </c>
      <c r="T13" s="11">
        <v>40</v>
      </c>
      <c r="W13" s="11">
        <v>44</v>
      </c>
    </row>
    <row r="14" ht="15" customHeight="1">
      <c r="A14" s="12" t="s">
        <v>63</v>
      </c>
      <c r="B14" s="13">
        <v>0.25</v>
      </c>
      <c r="C14" s="13">
        <v>0.35</v>
      </c>
      <c r="D14" s="13">
        <v>0.44</v>
      </c>
      <c r="E14" s="13">
        <v>0.45</v>
      </c>
      <c r="F14" s="13">
        <v>0.45</v>
      </c>
    </row>
    <row r="15" ht="15" customHeight="1">
      <c r="A15" s="9" t="s">
        <v>64</v>
      </c>
      <c r="B15">
        <v>7900</v>
      </c>
      <c r="C15">
        <v>6500</v>
      </c>
      <c r="D15">
        <v>5100</v>
      </c>
      <c r="E15">
        <v>4200</v>
      </c>
      <c r="F15">
        <v>4030</v>
      </c>
    </row>
    <row r="16" ht="15" customHeight="1">
      <c r="A16" s="12" t="s">
        <v>65</v>
      </c>
      <c r="B16" s="11">
        <v>8.5</v>
      </c>
      <c r="C16" s="13">
        <v>1.41</v>
      </c>
      <c r="D16" s="13">
        <v>1.34</v>
      </c>
      <c r="E16" s="11">
        <v>9.2</v>
      </c>
      <c r="F16" s="13">
        <v>1.15</v>
      </c>
      <c r="H16" s="11">
        <v>10.1</v>
      </c>
      <c r="K16" s="11">
        <v>11.2</v>
      </c>
      <c r="N16" s="11">
        <v>12.5</v>
      </c>
      <c r="Q16" s="11">
        <v>13.8</v>
      </c>
      <c r="T16" s="11">
        <v>15.2</v>
      </c>
      <c r="W16" s="11">
        <v>16.8</v>
      </c>
    </row>
    <row r="17" ht="15" customHeight="1">
      <c r="A17" s="12" t="s">
        <v>66</v>
      </c>
      <c r="B17" s="11">
        <v>6</v>
      </c>
      <c r="E17" s="11">
        <v>6.5</v>
      </c>
      <c r="H17" s="11">
        <v>7.2</v>
      </c>
      <c r="K17" s="11">
        <v>7.9</v>
      </c>
      <c r="N17" s="11">
        <v>8.6</v>
      </c>
      <c r="Q17" s="11">
        <v>9.4</v>
      </c>
      <c r="T17" s="11">
        <v>10.2</v>
      </c>
      <c r="W17" s="11">
        <v>11.1</v>
      </c>
    </row>
    <row r="18" ht="15" customHeight="1">
      <c r="A18" s="10" t="s">
        <v>67</v>
      </c>
      <c r="B18" s="11">
        <v>2.5</v>
      </c>
      <c r="E18" s="11">
        <v>2.7</v>
      </c>
      <c r="H18" s="11">
        <v>2.9</v>
      </c>
      <c r="K18" s="11">
        <v>3.3</v>
      </c>
      <c r="N18" s="11">
        <v>3.9</v>
      </c>
      <c r="Q18" s="11">
        <v>4.4</v>
      </c>
      <c r="T18" s="11">
        <v>5</v>
      </c>
      <c r="W18" s="11">
        <v>5.7</v>
      </c>
    </row>
    <row r="19" ht="15" customHeight="1">
      <c r="A19" s="12" t="s">
        <v>68</v>
      </c>
      <c r="C19" s="13">
        <v>0.41</v>
      </c>
      <c r="D19" s="13">
        <v>0.24</v>
      </c>
      <c r="E19" s="13">
        <v>0.17</v>
      </c>
      <c r="F19" s="13">
        <v>0.29</v>
      </c>
    </row>
    <row r="20" ht="15" customHeight="1">
      <c r="A20" s="9" t="s">
        <v>69</v>
      </c>
      <c r="D20" s="13">
        <v>0.14</v>
      </c>
      <c r="E20" s="13">
        <v>0.14</v>
      </c>
      <c r="F20" s="13">
        <v>0.28</v>
      </c>
    </row>
    <row r="21" ht="15" customHeight="1">
      <c r="A21" s="12" t="s">
        <v>70</v>
      </c>
      <c r="B21" s="13">
        <v>0.34</v>
      </c>
      <c r="D21" s="13">
        <v>0.36</v>
      </c>
      <c r="E21" s="13">
        <v>0.35</v>
      </c>
      <c r="F21" s="13">
        <v>0.29</v>
      </c>
      <c r="H21" s="13">
        <v>0.36</v>
      </c>
      <c r="K21" s="13">
        <v>0.38</v>
      </c>
      <c r="N21" s="13">
        <v>0.4</v>
      </c>
      <c r="Q21" s="13">
        <v>0.42</v>
      </c>
      <c r="T21" s="13">
        <v>0.44</v>
      </c>
      <c r="W21" s="13">
        <v>0.46</v>
      </c>
    </row>
    <row r="22" ht="15" customHeight="1">
      <c r="A22" s="12" t="s">
        <v>71</v>
      </c>
      <c r="B22" s="13">
        <v>0.26</v>
      </c>
      <c r="C22">
        <v>98</v>
      </c>
      <c r="D22">
        <v>137</v>
      </c>
      <c r="E22" s="13">
        <v>0.27</v>
      </c>
      <c r="F22">
        <v>187</v>
      </c>
      <c r="H22" s="13">
        <v>0.28</v>
      </c>
      <c r="K22" s="13">
        <v>0.29</v>
      </c>
      <c r="N22" s="13">
        <v>0.3</v>
      </c>
      <c r="Q22" s="13">
        <v>0.31</v>
      </c>
      <c r="T22" s="13">
        <v>0.32</v>
      </c>
      <c r="W22" s="13">
        <v>0.33</v>
      </c>
    </row>
    <row r="23" ht="15" customHeight="1">
      <c r="A23" s="12" t="s">
        <v>72</v>
      </c>
      <c r="B23" s="13">
        <v>0.52</v>
      </c>
      <c r="C23" s="13">
        <v>0.05</v>
      </c>
      <c r="D23" s="13">
        <v>0.08</v>
      </c>
      <c r="E23" s="13">
        <v>0.54</v>
      </c>
      <c r="F23" s="13">
        <v>0.12</v>
      </c>
      <c r="H23" s="13">
        <v>0.56</v>
      </c>
      <c r="K23" s="13">
        <v>0.59</v>
      </c>
      <c r="N23" s="13">
        <v>0.62</v>
      </c>
      <c r="Q23" s="13">
        <v>0.65</v>
      </c>
      <c r="T23" s="13">
        <v>0.68</v>
      </c>
      <c r="W23" s="13">
        <v>0.71</v>
      </c>
    </row>
    <row r="25" ht="15" customHeight="1">
      <c r="A25" s="9" t="s">
        <v>73</v>
      </c>
    </row>
    <row r="26" ht="15" customHeight="1">
      <c r="A26" s="12" t="s">
        <v>74</v>
      </c>
      <c r="B26" s="11">
        <v>3200</v>
      </c>
      <c r="C26" s="13">
        <v>0.78</v>
      </c>
      <c r="D26" s="13">
        <v>0.79</v>
      </c>
      <c r="E26" s="11">
        <v>3350</v>
      </c>
      <c r="F26" s="13">
        <v>0.8</v>
      </c>
      <c r="H26" s="11">
        <v>3500</v>
      </c>
      <c r="K26" s="11">
        <v>3650</v>
      </c>
      <c r="N26" s="11">
        <v>3800</v>
      </c>
      <c r="Q26" s="11">
        <v>3950</v>
      </c>
      <c r="T26" s="11">
        <v>4100</v>
      </c>
      <c r="W26" s="11">
        <v>4250</v>
      </c>
    </row>
    <row r="27" ht="15" customHeight="1">
      <c r="A27" s="12" t="s">
        <v>75</v>
      </c>
      <c r="B27" s="11">
        <v>1800</v>
      </c>
      <c r="C27" s="13">
        <v>0.82</v>
      </c>
      <c r="D27" s="13">
        <v>0.83</v>
      </c>
      <c r="E27" s="11">
        <v>1950</v>
      </c>
      <c r="F27" s="13">
        <v>0.82</v>
      </c>
      <c r="H27" s="11">
        <v>2100</v>
      </c>
      <c r="K27" s="11">
        <v>2300</v>
      </c>
      <c r="N27" s="11">
        <v>2500</v>
      </c>
      <c r="Q27" s="11">
        <v>2750</v>
      </c>
      <c r="T27" s="11">
        <v>3000</v>
      </c>
      <c r="W27" s="11">
        <v>3300</v>
      </c>
    </row>
    <row r="28" ht="15" customHeight="1">
      <c r="A28" s="10" t="s">
        <v>76</v>
      </c>
      <c r="B28" s="11">
        <v>2400</v>
      </c>
      <c r="C28" s="13">
        <v>-0.27</v>
      </c>
      <c r="D28" s="13">
        <v>-0.08</v>
      </c>
      <c r="E28" s="11">
        <v>2550</v>
      </c>
      <c r="F28" s="13">
        <v>0.11</v>
      </c>
      <c r="H28" s="11">
        <v>2700</v>
      </c>
      <c r="K28" s="11">
        <v>2850</v>
      </c>
      <c r="N28" s="11">
        <v>3000</v>
      </c>
      <c r="Q28" s="11">
        <v>3150</v>
      </c>
      <c r="T28" s="11">
        <v>3300</v>
      </c>
      <c r="W28" s="11">
        <v>3450</v>
      </c>
    </row>
    <row r="29" ht="15" customHeight="1">
      <c r="A29" s="12" t="s">
        <v>77</v>
      </c>
      <c r="B29" s="14">
        <v>115</v>
      </c>
      <c r="C29" s="13">
        <v>-0.24</v>
      </c>
      <c r="D29" s="13">
        <v>-0.07</v>
      </c>
      <c r="E29" s="14">
        <v>118</v>
      </c>
      <c r="F29" s="13">
        <v>0.12</v>
      </c>
      <c r="G29" s="13">
        <v>0.25</v>
      </c>
      <c r="H29" s="14">
        <v>120</v>
      </c>
      <c r="I29" s="13">
        <v>0.2</v>
      </c>
      <c r="J29" s="13">
        <v>0.18</v>
      </c>
      <c r="K29" s="14">
        <v>122</v>
      </c>
      <c r="L29" s="13">
        <v>0.15</v>
      </c>
      <c r="M29" s="13">
        <v>0.14</v>
      </c>
      <c r="N29" s="14">
        <v>124</v>
      </c>
      <c r="O29" s="13">
        <v>0.12</v>
      </c>
      <c r="P29" s="13">
        <v>0.11</v>
      </c>
      <c r="Q29" s="14">
        <v>125</v>
      </c>
      <c r="R29" s="13">
        <v>0.09</v>
      </c>
      <c r="S29" s="13">
        <v>0.08</v>
      </c>
      <c r="T29" s="14">
        <v>126</v>
      </c>
      <c r="U29" s="13">
        <v>0.06</v>
      </c>
      <c r="V29" s="13">
        <v>0.05</v>
      </c>
      <c r="W29" s="14">
        <v>127</v>
      </c>
      <c r="X29" s="13">
        <v>0.04</v>
      </c>
      <c r="Y29" s="13">
        <v>0.04</v>
      </c>
      <c r="Z29" s="13">
        <v>0.03</v>
      </c>
    </row>
    <row r="30" ht="15" customHeight="1">
      <c r="A30" s="12" t="s">
        <v>78</v>
      </c>
      <c r="B30" s="14">
        <v>120</v>
      </c>
      <c r="C30" s="13">
        <v>0.22</v>
      </c>
      <c r="D30" s="13">
        <v>0.12</v>
      </c>
      <c r="E30" s="14">
        <v>125</v>
      </c>
      <c r="F30" s="13">
        <v>0.4</v>
      </c>
      <c r="G30" s="13">
        <v>0.82</v>
      </c>
      <c r="H30" s="14">
        <v>130</v>
      </c>
      <c r="I30" s="13">
        <v>0.84</v>
      </c>
      <c r="J30" s="13">
        <v>0.84</v>
      </c>
      <c r="K30" s="14">
        <v>133</v>
      </c>
      <c r="L30" s="13">
        <v>0.85</v>
      </c>
      <c r="M30" s="13">
        <v>0.85</v>
      </c>
      <c r="N30" s="14">
        <v>135</v>
      </c>
      <c r="O30" s="13">
        <v>0.86</v>
      </c>
      <c r="P30" s="13">
        <v>0.86</v>
      </c>
      <c r="Q30" s="14">
        <v>137</v>
      </c>
      <c r="R30" s="13">
        <v>0.86</v>
      </c>
      <c r="S30" s="13">
        <v>0.87</v>
      </c>
      <c r="T30" s="14">
        <v>138</v>
      </c>
      <c r="U30" s="13">
        <v>0.87</v>
      </c>
      <c r="V30" s="13">
        <v>0.87</v>
      </c>
      <c r="W30" s="14">
        <v>140</v>
      </c>
      <c r="X30" s="13">
        <v>0.88</v>
      </c>
      <c r="Y30" s="13">
        <v>0.88</v>
      </c>
      <c r="Z30" s="13">
        <v>0.88</v>
      </c>
    </row>
    <row r="31" ht="15" customHeight="1">
      <c r="A31" t="s">
        <v>79</v>
      </c>
      <c r="G31" s="13">
        <v>0.15</v>
      </c>
      <c r="H31" s="13">
        <v>0.18</v>
      </c>
      <c r="I31" s="13">
        <v>0.21</v>
      </c>
      <c r="J31" s="13">
        <v>0.23</v>
      </c>
      <c r="K31" s="13">
        <v>0.25</v>
      </c>
      <c r="L31" s="13">
        <v>0.27</v>
      </c>
      <c r="M31" s="13">
        <v>0.28</v>
      </c>
      <c r="N31" s="13">
        <v>0.3</v>
      </c>
      <c r="O31" s="13">
        <v>0.31</v>
      </c>
      <c r="P31" s="13">
        <v>0.32</v>
      </c>
      <c r="Q31" s="13">
        <v>0.33</v>
      </c>
      <c r="R31" s="13">
        <v>0.34</v>
      </c>
      <c r="S31" s="13">
        <v>0.35</v>
      </c>
      <c r="T31" s="13">
        <v>0.36</v>
      </c>
      <c r="U31" s="13">
        <v>0.37</v>
      </c>
      <c r="V31" s="13">
        <v>0.38</v>
      </c>
      <c r="W31" s="13">
        <v>0.39</v>
      </c>
      <c r="X31" s="13">
        <v>0.4</v>
      </c>
      <c r="Y31" s="13">
        <v>0.41</v>
      </c>
      <c r="Z31" s="13">
        <v>0.42</v>
      </c>
    </row>
    <row r="32" ht="15" customHeight="1">
      <c r="A32" s="9" t="s">
        <v>80</v>
      </c>
      <c r="G32" s="13">
        <v>0.15</v>
      </c>
      <c r="H32" s="13">
        <v>0.18</v>
      </c>
      <c r="I32" s="13">
        <v>0.2</v>
      </c>
      <c r="J32" s="13">
        <v>0.21</v>
      </c>
      <c r="K32" s="13">
        <v>0.21</v>
      </c>
      <c r="L32" s="13">
        <v>0.21</v>
      </c>
      <c r="M32" s="13">
        <v>0.21</v>
      </c>
      <c r="N32" s="13">
        <v>0.21</v>
      </c>
      <c r="O32" s="13">
        <v>0.21</v>
      </c>
      <c r="P32" s="13">
        <v>0.21</v>
      </c>
      <c r="Q32" s="13">
        <v>0.21</v>
      </c>
      <c r="R32" s="13">
        <v>0.21</v>
      </c>
      <c r="S32" s="13">
        <v>0.21</v>
      </c>
      <c r="T32" s="13">
        <v>0.21</v>
      </c>
      <c r="U32" s="13">
        <v>0.21</v>
      </c>
      <c r="V32" s="13">
        <v>0.21</v>
      </c>
      <c r="W32" s="13">
        <v>0.21</v>
      </c>
      <c r="X32" s="13">
        <v>0.21</v>
      </c>
      <c r="Y32" s="13">
        <v>0.21</v>
      </c>
      <c r="Z32" s="13">
        <v>0.21</v>
      </c>
    </row>
    <row r="33" ht="15" customHeight="1">
      <c r="A33" s="12" t="s">
        <v>81</v>
      </c>
      <c r="B33" s="14">
        <v>450</v>
      </c>
      <c r="E33" s="14">
        <v>520</v>
      </c>
      <c r="H33" s="14">
        <v>600</v>
      </c>
      <c r="K33" s="14">
        <v>690</v>
      </c>
      <c r="N33" s="14">
        <v>780</v>
      </c>
      <c r="Q33" s="14">
        <v>870</v>
      </c>
      <c r="T33" s="14">
        <v>960</v>
      </c>
      <c r="W33" s="14">
        <v>1050</v>
      </c>
    </row>
    <row r="34" ht="15" customHeight="1">
      <c r="A34" s="15" t="s">
        <v>82</v>
      </c>
      <c r="B34" s="16">
        <v>2.2</v>
      </c>
      <c r="C34" s="8"/>
      <c r="D34" s="8"/>
      <c r="E34" s="16">
        <v>2.4</v>
      </c>
      <c r="F34" s="8"/>
      <c r="G34" s="8"/>
      <c r="H34" s="16">
        <v>2.6</v>
      </c>
      <c r="I34" s="8"/>
      <c r="J34" s="8"/>
      <c r="K34" s="16">
        <v>2.8</v>
      </c>
      <c r="L34" s="8"/>
      <c r="M34" s="8"/>
      <c r="N34" s="16">
        <v>3</v>
      </c>
      <c r="O34" s="8"/>
      <c r="P34" s="8"/>
      <c r="Q34" s="16">
        <v>3.1</v>
      </c>
      <c r="R34" s="8"/>
      <c r="S34" s="8"/>
      <c r="T34" s="16">
        <v>3.2</v>
      </c>
      <c r="U34" s="8"/>
      <c r="V34" s="8"/>
      <c r="W34" s="16">
        <v>3.3</v>
      </c>
      <c r="X34" s="8"/>
      <c r="Y34" s="8"/>
      <c r="Z34" s="8"/>
    </row>
    <row r="35" ht="15" customHeight="1">
      <c r="A35" s="12" t="s">
        <v>83</v>
      </c>
      <c r="B35" s="11">
        <v>4.2</v>
      </c>
      <c r="E35" s="11">
        <v>4.5</v>
      </c>
      <c r="H35" s="11">
        <v>4.8</v>
      </c>
      <c r="K35" s="11">
        <v>5.1</v>
      </c>
      <c r="N35" s="11">
        <v>5.4</v>
      </c>
      <c r="Q35" s="11">
        <v>5.7</v>
      </c>
      <c r="T35" s="11">
        <v>6</v>
      </c>
      <c r="W35" s="11">
        <v>6.3</v>
      </c>
    </row>
    <row r="36" ht="15" customHeight="1">
      <c r="A36" s="12" t="s">
        <v>84</v>
      </c>
      <c r="B36" s="11">
        <v>850</v>
      </c>
      <c r="C36" s="17">
        <v>1541889</v>
      </c>
      <c r="D36" s="17">
        <v>1905871</v>
      </c>
      <c r="E36" s="11">
        <v>800</v>
      </c>
      <c r="F36" s="17">
        <v>2865507</v>
      </c>
      <c r="G36" s="17">
        <f t="shared" si="0" ref="G36:Z36">F36*(1+G29)</f>
        <v>3581883.75</v>
      </c>
      <c r="H36" s="11">
        <v>750</v>
      </c>
      <c r="I36" s="17">
        <f t="shared" si="0"/>
        <v>900</v>
      </c>
      <c r="J36" s="17">
        <f t="shared" si="0"/>
        <v>1062</v>
      </c>
      <c r="K36" s="11">
        <v>700</v>
      </c>
      <c r="L36" s="17">
        <f t="shared" si="0"/>
        <v>805</v>
      </c>
      <c r="M36" s="17">
        <f t="shared" si="0"/>
        <v>917.7</v>
      </c>
      <c r="N36" s="11">
        <v>650</v>
      </c>
      <c r="O36" s="17">
        <f t="shared" si="0"/>
        <v>728</v>
      </c>
      <c r="P36" s="17">
        <f t="shared" si="0"/>
        <v>808.08</v>
      </c>
      <c r="Q36" s="11">
        <v>600</v>
      </c>
      <c r="R36" s="17">
        <f t="shared" si="0"/>
        <v>654</v>
      </c>
      <c r="S36" s="17">
        <f t="shared" si="0"/>
        <v>706.32</v>
      </c>
      <c r="T36" s="11">
        <v>550</v>
      </c>
      <c r="U36" s="17">
        <f t="shared" si="0"/>
        <v>583</v>
      </c>
      <c r="V36" s="17">
        <f t="shared" si="0"/>
        <v>612.15</v>
      </c>
      <c r="W36" s="11">
        <v>500</v>
      </c>
      <c r="X36" s="17">
        <f t="shared" si="0"/>
        <v>520</v>
      </c>
      <c r="Y36" s="17">
        <f t="shared" si="0"/>
        <v>540.8</v>
      </c>
      <c r="Z36" s="17">
        <f t="shared" si="0"/>
        <v>557.024</v>
      </c>
    </row>
    <row r="37" ht="15" customHeight="1">
      <c r="A37" s="12" t="s">
        <v>85</v>
      </c>
      <c r="B37" s="14">
        <v>18</v>
      </c>
      <c r="C37" s="17">
        <v>339404</v>
      </c>
      <c r="D37" s="17">
        <v>408549</v>
      </c>
      <c r="E37" s="14">
        <v>16</v>
      </c>
      <c r="F37" s="17">
        <v>565990</v>
      </c>
      <c r="G37" s="17">
        <f t="shared" si="1" ref="G37:Z37">G36*(1-G30)</f>
        <v>644739.075</v>
      </c>
      <c r="H37" s="14">
        <v>14</v>
      </c>
      <c r="I37" s="17">
        <f t="shared" si="1"/>
        <v>144</v>
      </c>
      <c r="J37" s="17">
        <f t="shared" si="1"/>
        <v>169.92</v>
      </c>
      <c r="K37" s="14">
        <v>12</v>
      </c>
      <c r="L37" s="17">
        <f t="shared" si="1"/>
        <v>120.75</v>
      </c>
      <c r="M37" s="17">
        <f t="shared" si="1"/>
        <v>137.655</v>
      </c>
      <c r="N37" s="14">
        <v>11</v>
      </c>
      <c r="O37" s="17">
        <f t="shared" si="1"/>
        <v>101.92</v>
      </c>
      <c r="P37" s="17">
        <f t="shared" si="1"/>
        <v>113.1312</v>
      </c>
      <c r="Q37" s="14">
        <v>10</v>
      </c>
      <c r="R37" s="17">
        <f t="shared" si="1"/>
        <v>91.56</v>
      </c>
      <c r="S37" s="17">
        <f t="shared" si="1"/>
        <v>91.8216</v>
      </c>
      <c r="T37" s="14">
        <v>9</v>
      </c>
      <c r="U37" s="17">
        <f t="shared" si="1"/>
        <v>75.79</v>
      </c>
      <c r="V37" s="17">
        <f t="shared" si="1"/>
        <v>79.5795</v>
      </c>
      <c r="W37" s="14">
        <v>8</v>
      </c>
      <c r="X37" s="17">
        <f t="shared" si="1"/>
        <v>62.4</v>
      </c>
      <c r="Y37" s="17">
        <f t="shared" si="1"/>
        <v>64.896</v>
      </c>
      <c r="Z37" s="17">
        <f t="shared" si="1"/>
        <v>66.84288</v>
      </c>
    </row>
    <row r="38" ht="15" customHeight="1">
      <c r="A38" s="12" t="s">
        <v>86</v>
      </c>
      <c r="B38" s="17">
        <f t="shared" si="2" ref="B38:Z55">B36-B37</f>
        <v>832</v>
      </c>
      <c r="C38" s="17">
        <f t="shared" si="2"/>
        <v>1202485</v>
      </c>
      <c r="D38" s="17">
        <f t="shared" si="2"/>
        <v>1497322</v>
      </c>
      <c r="E38" s="17">
        <f t="shared" si="2"/>
        <v>784</v>
      </c>
      <c r="F38" s="17">
        <f t="shared" si="2"/>
        <v>2299517</v>
      </c>
      <c r="G38" s="17">
        <f t="shared" si="2"/>
        <v>2937144.675</v>
      </c>
      <c r="H38" s="17">
        <f t="shared" si="2"/>
        <v>736</v>
      </c>
      <c r="I38" s="17">
        <f t="shared" si="2"/>
        <v>756</v>
      </c>
      <c r="J38" s="17">
        <f t="shared" si="2"/>
        <v>892.08</v>
      </c>
      <c r="K38" s="17">
        <f t="shared" si="2"/>
        <v>688</v>
      </c>
      <c r="L38" s="17">
        <f t="shared" si="2"/>
        <v>684.25</v>
      </c>
      <c r="M38" s="17">
        <f t="shared" si="2"/>
        <v>780.045</v>
      </c>
      <c r="N38" s="17">
        <f t="shared" si="2"/>
        <v>639</v>
      </c>
      <c r="O38" s="17">
        <f t="shared" si="2"/>
        <v>626.08</v>
      </c>
      <c r="P38" s="17">
        <f t="shared" si="2"/>
        <v>694.9488</v>
      </c>
      <c r="Q38" s="17">
        <f t="shared" si="2"/>
        <v>590</v>
      </c>
      <c r="R38" s="17">
        <f t="shared" si="2"/>
        <v>562.44</v>
      </c>
      <c r="S38" s="17">
        <f t="shared" si="2"/>
        <v>614.4984</v>
      </c>
      <c r="T38" s="17">
        <f t="shared" si="2"/>
        <v>541</v>
      </c>
      <c r="U38" s="17">
        <f t="shared" si="2"/>
        <v>507.21</v>
      </c>
      <c r="V38" s="17">
        <f t="shared" si="2"/>
        <v>532.5705</v>
      </c>
      <c r="W38" s="17">
        <f t="shared" si="2"/>
        <v>492</v>
      </c>
      <c r="X38" s="17">
        <f t="shared" si="2"/>
        <v>457.6</v>
      </c>
      <c r="Y38" s="17">
        <f t="shared" si="2"/>
        <v>475.904</v>
      </c>
      <c r="Z38" s="17">
        <f t="shared" si="2"/>
        <v>490.18112</v>
      </c>
    </row>
    <row r="39" ht="15" customHeight="1">
      <c r="A39" s="12" t="s">
        <v>87</v>
      </c>
      <c r="B39" s="13">
        <f t="shared" si="3" ref="B39:F39">B38/B36</f>
        <v>0.978823529411765</v>
      </c>
      <c r="C39" s="13">
        <f t="shared" si="3"/>
        <v>0.779877799244952</v>
      </c>
      <c r="D39" s="13">
        <f t="shared" si="3"/>
        <v>0.785636593452547</v>
      </c>
      <c r="E39" s="13">
        <f t="shared" si="3"/>
        <v>0.98</v>
      </c>
      <c r="F39" s="13">
        <f t="shared" si="3"/>
        <v>0.802481724874516</v>
      </c>
    </row>
    <row r="41" ht="15" customHeight="1">
      <c r="A41" s="18" t="s">
        <v>88</v>
      </c>
      <c r="G41" s="17">
        <f>G36*0.3</f>
        <v>1074565.125</v>
      </c>
      <c r="H41" s="17">
        <f>H36*0.295</f>
        <v>221.25</v>
      </c>
      <c r="I41" s="17">
        <f>I36*0.29</f>
        <v>261</v>
      </c>
      <c r="J41" s="17">
        <f>J36*0.285</f>
        <v>302.67</v>
      </c>
      <c r="K41" s="17">
        <f>K36*0.27999999999999997</f>
        <v>196</v>
      </c>
      <c r="L41" s="17">
        <f>L36*0.27499999999999997</f>
        <v>221.375</v>
      </c>
      <c r="M41" s="17">
        <f>M36*0.27</f>
        <v>247.779</v>
      </c>
      <c r="N41" s="17">
        <f>N36*0.265</f>
        <v>172.25</v>
      </c>
      <c r="O41" s="17">
        <f>O36*0.26</f>
        <v>189.28</v>
      </c>
      <c r="P41" s="17">
        <f>P36*0.255</f>
        <v>206.0604</v>
      </c>
      <c r="Q41" s="17">
        <f>Q36*0.25</f>
        <v>150</v>
      </c>
      <c r="R41" s="17">
        <f>R36*0.245</f>
        <v>160.23</v>
      </c>
      <c r="S41" s="17">
        <f>S36*0.24</f>
        <v>169.5168</v>
      </c>
      <c r="T41" s="17">
        <f>T36*0.235</f>
        <v>129.25</v>
      </c>
      <c r="U41" s="17">
        <f>U36*0.22999999999999998</f>
        <v>134.09</v>
      </c>
      <c r="V41" s="17">
        <f>V36*0.22499999999999998</f>
        <v>137.73375</v>
      </c>
      <c r="W41" s="17">
        <f>W36*0.21999999999999997</f>
        <v>110</v>
      </c>
      <c r="X41" s="17">
        <f>X36*0.21499999999999997</f>
        <v>111.8</v>
      </c>
      <c r="Y41" s="17">
        <f>Y36*0.21</f>
        <v>113.568</v>
      </c>
      <c r="Z41" s="17">
        <f>Z36*0.205</f>
        <v>114.18992</v>
      </c>
    </row>
    <row r="42" ht="15" customHeight="1">
      <c r="A42" s="12" t="s">
        <v>89</v>
      </c>
      <c r="B42" s="17">
        <v>683701</v>
      </c>
      <c r="C42" s="17">
        <v>614512</v>
      </c>
      <c r="D42" s="17">
        <v>702511</v>
      </c>
      <c r="E42" s="17">
        <v>744992</v>
      </c>
      <c r="F42" s="17">
        <v>887755</v>
      </c>
      <c r="G42" s="17">
        <f>G36*0.18</f>
        <v>644739.075</v>
      </c>
      <c r="H42" s="17">
        <f>H36*0.177</f>
        <v>132.75</v>
      </c>
      <c r="I42" s="17">
        <f>I36*0.174</f>
        <v>156.6</v>
      </c>
      <c r="J42" s="17">
        <f>J36*0.17099999999999999</f>
        <v>181.602</v>
      </c>
      <c r="K42" s="17">
        <f>K36*0.16799999999999998</f>
        <v>117.6</v>
      </c>
      <c r="L42" s="17">
        <f>L36*0.16499999999999998</f>
        <v>132.825</v>
      </c>
      <c r="M42" s="17">
        <f>M36*0.16199999999999998</f>
        <v>148.6674</v>
      </c>
      <c r="N42" s="17">
        <f>N36*0.159</f>
        <v>103.35</v>
      </c>
      <c r="O42" s="17">
        <f>O36*0.156</f>
        <v>113.568</v>
      </c>
      <c r="P42" s="17">
        <f>P36*0.153</f>
        <v>123.63624</v>
      </c>
      <c r="Q42" s="17">
        <f>Q36*0.15</f>
        <v>90</v>
      </c>
      <c r="R42" s="17">
        <f>R36*0.147</f>
        <v>96.138</v>
      </c>
      <c r="S42" s="17">
        <f>S36*0.144</f>
        <v>101.71008</v>
      </c>
      <c r="T42" s="17">
        <f>T36*0.141</f>
        <v>77.55</v>
      </c>
      <c r="U42" s="17">
        <f>U36*0.13799999999999998</f>
        <v>80.454</v>
      </c>
      <c r="V42" s="17">
        <f>V36*0.135</f>
        <v>82.64025</v>
      </c>
      <c r="W42" s="17">
        <f>W36*0.132</f>
        <v>66</v>
      </c>
      <c r="X42" s="17">
        <f>X36*0.129</f>
        <v>67.08</v>
      </c>
      <c r="Y42" s="17">
        <f>Y36*0.126</f>
        <v>68.1408</v>
      </c>
      <c r="Z42" s="17">
        <f>Z36*0.123</f>
        <v>68.51395200231481</v>
      </c>
    </row>
    <row r="43" ht="15" customHeight="1">
      <c r="A43" s="12" t="s">
        <v>90</v>
      </c>
      <c r="B43" s="11">
        <v>341234</v>
      </c>
      <c r="C43" s="11">
        <v>375644</v>
      </c>
      <c r="D43" s="11">
        <v>392146</v>
      </c>
      <c r="E43" s="11">
        <v>432867</v>
      </c>
      <c r="F43" s="11">
        <v>446361</v>
      </c>
      <c r="G43" s="11">
        <v>473010</v>
      </c>
      <c r="H43" s="11">
        <v>477880</v>
      </c>
      <c r="I43" s="11">
        <v>508624</v>
      </c>
      <c r="J43" s="11">
        <v>525186</v>
      </c>
      <c r="K43" s="11">
        <v>533317</v>
      </c>
      <c r="L43" s="11">
        <v>558165</v>
      </c>
      <c r="M43" s="11">
        <v>608351</v>
      </c>
      <c r="N43" s="11">
        <v>634337</v>
      </c>
      <c r="O43" s="11">
        <v>678134</v>
      </c>
      <c r="P43" s="11">
        <v>725522</v>
      </c>
      <c r="Q43" s="11">
        <v>827514</v>
      </c>
      <c r="R43" s="11">
        <f>Q43*1.10</f>
        <v>910265.4</v>
      </c>
      <c r="S43" s="11">
        <f t="shared" si="4" ref="S43:Y43">R43*1.08</f>
        <v>983086.632</v>
      </c>
      <c r="T43" s="11">
        <f t="shared" si="4"/>
        <v>1061733.56256</v>
      </c>
      <c r="U43" s="11">
        <f t="shared" si="4"/>
        <v>1146672.2475648</v>
      </c>
      <c r="V43" s="11">
        <f t="shared" si="4"/>
        <v>1238406.02736998</v>
      </c>
      <c r="W43" s="11">
        <f t="shared" si="4"/>
        <v>1337478.50955958</v>
      </c>
      <c r="X43" s="11">
        <f t="shared" si="4"/>
        <v>1444476.79032435</v>
      </c>
      <c r="Y43" s="11">
        <f t="shared" si="4"/>
        <v>1560034.9335503</v>
      </c>
      <c r="Z43" s="17">
        <f>Z36*0.12400000000000001</f>
        <v>69.07097599537038</v>
      </c>
    </row>
    <row r="44" ht="15" customHeight="1">
      <c r="A44" s="12" t="s">
        <v>91</v>
      </c>
      <c r="B44" s="11">
        <v>204740</v>
      </c>
      <c r="C44" s="11">
        <v>225386</v>
      </c>
      <c r="D44" s="11">
        <v>235288</v>
      </c>
      <c r="E44" s="11">
        <v>259720</v>
      </c>
      <c r="F44" s="11">
        <v>267817</v>
      </c>
      <c r="G44" s="11">
        <v>283806</v>
      </c>
      <c r="H44" s="11">
        <v>286728</v>
      </c>
      <c r="I44" s="11">
        <v>305174</v>
      </c>
      <c r="J44" s="11">
        <v>289098</v>
      </c>
      <c r="K44" s="11">
        <v>302003</v>
      </c>
      <c r="L44" s="11">
        <v>308097</v>
      </c>
      <c r="M44" s="11">
        <v>335017</v>
      </c>
      <c r="N44" s="11">
        <v>335402</v>
      </c>
      <c r="O44" s="11">
        <v>371101</v>
      </c>
      <c r="P44" s="11">
        <v>408283</v>
      </c>
      <c r="Q44" s="11">
        <v>454819</v>
      </c>
      <c r="R44" s="11">
        <f t="shared" si="5" ref="R44:Y44">R42*0.57</f>
        <v>54.79866</v>
      </c>
      <c r="S44" s="11">
        <f t="shared" si="5"/>
        <v>57.9747456</v>
      </c>
      <c r="T44" s="11">
        <f t="shared" si="5"/>
        <v>44.2035</v>
      </c>
      <c r="U44" s="11">
        <f t="shared" si="5"/>
        <v>45.85878</v>
      </c>
      <c r="V44" s="11">
        <f t="shared" si="5"/>
        <v>47.1049425</v>
      </c>
      <c r="W44" s="11">
        <f t="shared" si="5"/>
        <v>37.62</v>
      </c>
      <c r="X44" s="11">
        <f t="shared" si="5"/>
        <v>38.2356</v>
      </c>
      <c r="Y44" s="11">
        <f t="shared" si="5"/>
        <v>38.840256</v>
      </c>
      <c r="Z44" s="17">
        <f t="shared" si="27" ref="Z44:Z71">Z41+Z42+Z43</f>
        <v>251.77484799768519</v>
      </c>
    </row>
    <row r="45" ht="15" customHeight="1">
      <c r="A45" s="12" t="s">
        <v>92</v>
      </c>
      <c r="B45" s="11">
        <v>136494</v>
      </c>
      <c r="C45" s="11">
        <v>150258</v>
      </c>
      <c r="D45" s="11">
        <v>156858</v>
      </c>
      <c r="E45" s="11">
        <v>173147</v>
      </c>
      <c r="F45" s="11">
        <v>178544</v>
      </c>
      <c r="G45" s="11">
        <v>189204</v>
      </c>
      <c r="H45" s="11">
        <v>191152</v>
      </c>
      <c r="I45" s="11">
        <v>203450</v>
      </c>
      <c r="J45" s="11">
        <v>236088</v>
      </c>
      <c r="K45" s="11">
        <v>231314</v>
      </c>
      <c r="L45" s="11">
        <v>250068</v>
      </c>
      <c r="M45" s="11">
        <v>273334</v>
      </c>
      <c r="N45" s="11">
        <v>298935</v>
      </c>
      <c r="O45" s="11">
        <v>307033</v>
      </c>
      <c r="P45" s="11">
        <v>317239</v>
      </c>
      <c r="Q45" s="11">
        <v>372695</v>
      </c>
      <c r="R45" s="11">
        <f t="shared" si="6" ref="R45:Y45">R42-R44</f>
        <v>41.33934</v>
      </c>
      <c r="S45" s="11">
        <f t="shared" si="6"/>
        <v>43.7353344</v>
      </c>
      <c r="T45" s="11">
        <f t="shared" si="6"/>
        <v>33.3465</v>
      </c>
      <c r="U45" s="11">
        <f t="shared" si="6"/>
        <v>34.59522</v>
      </c>
      <c r="V45" s="11">
        <f t="shared" si="6"/>
        <v>35.5353075</v>
      </c>
      <c r="W45" s="11">
        <f t="shared" si="6"/>
        <v>28.38</v>
      </c>
      <c r="X45" s="11">
        <f t="shared" si="6"/>
        <v>28.8444</v>
      </c>
      <c r="Y45" s="11">
        <f t="shared" si="6"/>
        <v>29.300544</v>
      </c>
    </row>
    <row r="46" ht="15" customHeight="1">
      <c r="A46" s="12" t="s">
        <v>93</v>
      </c>
      <c r="B46" s="13">
        <f t="shared" si="7" ref="B46:Q46">B44/B42</f>
        <v>0.299458388974128</v>
      </c>
      <c r="C46" s="13">
        <f t="shared" si="7"/>
        <v>0.366772333168433</v>
      </c>
      <c r="D46" s="13">
        <f t="shared" si="7"/>
        <v>0.334924293000394</v>
      </c>
      <c r="E46" s="13">
        <f t="shared" si="7"/>
        <v>0.348621193247713</v>
      </c>
      <c r="F46" s="13">
        <f t="shared" si="7"/>
        <v>0.301678954215972</v>
      </c>
      <c r="G46" s="13">
        <f t="shared" si="7"/>
        <v>0.440187373473525</v>
      </c>
      <c r="H46" s="13">
        <f t="shared" si="7"/>
        <v>2159.90960451977</v>
      </c>
      <c r="I46" s="13">
        <f t="shared" si="7"/>
        <v>1948.74840357599</v>
      </c>
      <c r="J46" s="13">
        <f t="shared" si="7"/>
        <v>1591.93180691843</v>
      </c>
      <c r="K46" s="13">
        <f t="shared" si="7"/>
        <v>2568.05272108844</v>
      </c>
      <c r="L46" s="13">
        <f t="shared" si="7"/>
        <v>2319.57086391869</v>
      </c>
      <c r="M46" s="13">
        <f t="shared" si="7"/>
        <v>2253.46646272148</v>
      </c>
      <c r="N46" s="13">
        <f t="shared" si="7"/>
        <v>3245.30237058539</v>
      </c>
      <c r="O46" s="13">
        <f t="shared" si="7"/>
        <v>3267.65462102001</v>
      </c>
      <c r="P46" s="13">
        <f t="shared" si="7"/>
        <v>3302.29227288051</v>
      </c>
      <c r="Q46" s="13">
        <f t="shared" si="7"/>
        <v>5053.54444444444</v>
      </c>
      <c r="R46" s="17">
        <f t="shared" si="8" ref="R46:Z46">R38-R44</f>
        <v>507.64134</v>
      </c>
      <c r="S46" s="17">
        <f t="shared" si="8"/>
        <v>556.5236543981481</v>
      </c>
      <c r="T46" s="17">
        <f t="shared" si="8"/>
        <v>496.7965</v>
      </c>
      <c r="U46" s="17">
        <f t="shared" si="8"/>
        <v>461.35122</v>
      </c>
      <c r="V46" s="17">
        <f t="shared" si="8"/>
        <v>485.4655575</v>
      </c>
      <c r="W46" s="17">
        <f t="shared" si="8"/>
        <v>454.38</v>
      </c>
      <c r="X46" s="17">
        <f t="shared" si="8"/>
        <v>419.3644</v>
      </c>
      <c r="Y46" s="17">
        <f t="shared" si="8"/>
        <v>437.06374400462965</v>
      </c>
      <c r="Z46" s="17">
        <f t="shared" si="8"/>
        <v>238.4062720023148</v>
      </c>
    </row>
    <row r="47" ht="15" customHeight="1">
      <c r="A47" s="12" t="s">
        <v>94</v>
      </c>
      <c r="B47" s="13">
        <f t="shared" si="9" ref="B47:Q47">B45/B42</f>
        <v>0.199639901067864</v>
      </c>
      <c r="C47" s="13">
        <f t="shared" si="9"/>
        <v>0.244515973650637</v>
      </c>
      <c r="D47" s="13">
        <f t="shared" si="9"/>
        <v>0.223281913023426</v>
      </c>
      <c r="E47" s="13">
        <f t="shared" si="9"/>
        <v>0.232414576263906</v>
      </c>
      <c r="F47" s="13">
        <f t="shared" si="9"/>
        <v>0.201118551852707</v>
      </c>
      <c r="G47" s="13">
        <f t="shared" si="9"/>
        <v>0.29345824898235</v>
      </c>
      <c r="H47" s="13">
        <f t="shared" si="9"/>
        <v>1439.93973634652</v>
      </c>
      <c r="I47" s="13">
        <f t="shared" si="9"/>
        <v>1299.16985951469</v>
      </c>
      <c r="J47" s="13">
        <f t="shared" si="9"/>
        <v>1300.02973535534</v>
      </c>
      <c r="K47" s="13">
        <f t="shared" si="9"/>
        <v>1966.95578231293</v>
      </c>
      <c r="L47" s="13">
        <f t="shared" si="9"/>
        <v>1882.68774703557</v>
      </c>
      <c r="M47" s="13">
        <f t="shared" si="9"/>
        <v>1838.56043759425</v>
      </c>
      <c r="N47" s="13">
        <f t="shared" si="9"/>
        <v>2892.45283018868</v>
      </c>
      <c r="O47" s="13">
        <f t="shared" si="9"/>
        <v>2703.51683572837</v>
      </c>
      <c r="P47" s="13">
        <f t="shared" si="9"/>
        <v>2565.90624237683</v>
      </c>
      <c r="Q47" s="13">
        <f t="shared" si="9"/>
        <v>4141.05555555556</v>
      </c>
      <c r="R47" s="13">
        <f t="shared" si="10" ref="R47:Z47">R46/R36</f>
        <v>0.77621</v>
      </c>
      <c r="S47" s="13">
        <f t="shared" si="10"/>
        <v>0.78792</v>
      </c>
      <c r="T47" s="13">
        <f t="shared" si="10"/>
        <v>0.903266363636364</v>
      </c>
      <c r="U47" s="13">
        <f t="shared" si="10"/>
        <v>0.79134</v>
      </c>
      <c r="V47" s="13">
        <f t="shared" si="10"/>
        <v>0.79305</v>
      </c>
      <c r="W47" s="13">
        <f t="shared" si="10"/>
        <v>0.90876</v>
      </c>
      <c r="X47" s="13">
        <f t="shared" si="10"/>
        <v>0.80647</v>
      </c>
      <c r="Y47" s="13">
        <f t="shared" si="10"/>
        <v>0.80818</v>
      </c>
      <c r="Z47" s="13">
        <f t="shared" si="10"/>
        <v>0.428</v>
      </c>
    </row>
    <row r="48" ht="15" customHeight="1">
      <c r="A48" s="12" t="s">
        <v>95</v>
      </c>
      <c r="C48" s="13">
        <f t="shared" si="11" ref="C48:Q48">(C42-B42)/B42</f>
        <v>-0.101197745798236</v>
      </c>
      <c r="D48" s="13">
        <f t="shared" si="11"/>
        <v>0.143201434634311</v>
      </c>
      <c r="E48" s="13">
        <f t="shared" si="11"/>
        <v>0.0604702275124518</v>
      </c>
      <c r="F48" s="13">
        <f t="shared" si="11"/>
        <v>0.191630245693913</v>
      </c>
      <c r="G48" s="13">
        <f t="shared" si="11"/>
        <v>-0.273742107901392</v>
      </c>
      <c r="H48" s="13">
        <f t="shared" si="11"/>
        <v>-0.999794102753893</v>
      </c>
      <c r="I48" s="13">
        <f t="shared" si="11"/>
        <v>0.179661016949153</v>
      </c>
      <c r="J48" s="13">
        <f t="shared" si="11"/>
        <v>0.159655172413793</v>
      </c>
      <c r="K48" s="13">
        <f t="shared" si="11"/>
        <v>-0.352430039316748</v>
      </c>
      <c r="L48" s="13">
        <f t="shared" si="11"/>
        <v>0.129464285714286</v>
      </c>
      <c r="M48" s="13">
        <f t="shared" si="11"/>
        <v>0.119272727272727</v>
      </c>
      <c r="N48" s="13">
        <f t="shared" si="11"/>
        <v>-0.304824056921692</v>
      </c>
      <c r="O48" s="13">
        <f t="shared" si="11"/>
        <v>0.0988679245283019</v>
      </c>
      <c r="P48" s="13">
        <f t="shared" si="11"/>
        <v>0.0886538461538462</v>
      </c>
      <c r="Q48" s="13">
        <f t="shared" si="11"/>
        <v>-0.272058095587507</v>
      </c>
    </row>
    <row r="49" ht="15" customHeight="1">
      <c r="A49" s="12" t="s">
        <v>96</v>
      </c>
      <c r="F49" s="13">
        <f t="shared" si="12" ref="F49:Q49">(F42-B42)/B42</f>
        <v>0.298455026393116</v>
      </c>
      <c r="G49" s="13">
        <f t="shared" si="12"/>
        <v>0.0491887465175618</v>
      </c>
      <c r="H49" s="13">
        <f t="shared" si="12"/>
        <v>-0.999811034987352</v>
      </c>
      <c r="I49" s="13">
        <f t="shared" si="12"/>
        <v>-0.999789796400498</v>
      </c>
      <c r="J49" s="13">
        <f t="shared" si="12"/>
        <v>-0.999795436804073</v>
      </c>
      <c r="K49" s="13">
        <f t="shared" si="12"/>
        <v>-0.999817600631697</v>
      </c>
      <c r="L49" s="13">
        <f t="shared" si="12"/>
        <v>0.000564971751412344</v>
      </c>
      <c r="M49" s="13">
        <f t="shared" si="12"/>
        <v>-0.0506551724137932</v>
      </c>
      <c r="N49" s="13">
        <f t="shared" si="12"/>
        <v>-0.43089833812403</v>
      </c>
      <c r="O49" s="13">
        <f t="shared" si="12"/>
        <v>-0.0342857142857143</v>
      </c>
      <c r="P49" s="13">
        <f t="shared" si="12"/>
        <v>-0.0691794466403161</v>
      </c>
      <c r="Q49" s="13">
        <f t="shared" si="12"/>
        <v>-0.394621820251111</v>
      </c>
    </row>
    <row r="50" ht="15" customHeight="1">
      <c r="A50" s="12" t="s">
        <v>97</v>
      </c>
      <c r="B50" s="17">
        <v>4680</v>
      </c>
      <c r="C50" s="17">
        <v>1607</v>
      </c>
      <c r="D50" s="17">
        <v>20309</v>
      </c>
      <c r="E50" s="17">
        <v>132572</v>
      </c>
      <c r="F50" s="17">
        <v>196792</v>
      </c>
      <c r="G50" s="17">
        <f>F64*0.02</f>
        <v>41970.48</v>
      </c>
      <c r="H50" s="17">
        <f t="shared" si="13" ref="H50:Z50">G115*0.02</f>
        <v>60606.94332416667</v>
      </c>
      <c r="I50" s="17">
        <f t="shared" si="13"/>
        <v>70368.49966388888</v>
      </c>
      <c r="J50" s="17">
        <f t="shared" si="13"/>
        <v>75714.32149108796</v>
      </c>
      <c r="K50" s="17">
        <f t="shared" si="13"/>
        <v>81537.5772325926</v>
      </c>
      <c r="L50" s="17">
        <f t="shared" si="13"/>
        <v>87636.41498143518</v>
      </c>
      <c r="M50" s="17">
        <f t="shared" si="13"/>
        <v>93688.83465137731</v>
      </c>
      <c r="N50" s="17">
        <f t="shared" si="13"/>
        <v>99818.27414028936</v>
      </c>
      <c r="O50" s="17">
        <f t="shared" si="13"/>
        <v>106755.21671173611</v>
      </c>
      <c r="P50" s="17">
        <f t="shared" si="13"/>
        <v>113842.65164965278</v>
      </c>
      <c r="Q50" s="17">
        <f t="shared" si="13"/>
        <v>121408.23489210648</v>
      </c>
      <c r="R50" s="17">
        <f t="shared" si="13"/>
        <v>129102.05124240741</v>
      </c>
      <c r="S50" s="17">
        <f t="shared" si="13"/>
        <v>138790.80173980325</v>
      </c>
      <c r="T50" s="17">
        <f t="shared" si="13"/>
        <v>149978.82786599538</v>
      </c>
      <c r="U50" s="17">
        <f t="shared" si="13"/>
        <v>162486.1388162037</v>
      </c>
      <c r="V50" s="17">
        <f t="shared" si="13"/>
        <v>176452.42047824073</v>
      </c>
      <c r="W50" s="17">
        <f t="shared" si="13"/>
        <v>192031.2654337037</v>
      </c>
      <c r="X50" s="17">
        <f t="shared" si="13"/>
        <v>209391.08303899306</v>
      </c>
      <c r="Y50" s="17">
        <f t="shared" si="13"/>
        <v>228717.24752931713</v>
      </c>
      <c r="Z50" s="17">
        <f t="shared" si="13"/>
        <v>250213.41667310186</v>
      </c>
    </row>
    <row r="51" ht="15" customHeight="1">
      <c r="A51" s="12" t="s">
        <v>98</v>
      </c>
      <c r="B51" s="17">
        <v>14139</v>
      </c>
      <c r="C51" s="17">
        <v>3640</v>
      </c>
      <c r="D51" s="17">
        <v>4058</v>
      </c>
      <c r="E51" s="17">
        <v>3470</v>
      </c>
      <c r="F51" s="17">
        <v>0</v>
      </c>
    </row>
    <row r="52" ht="15" customHeight="1">
      <c r="A52" s="12" t="s">
        <v>99</v>
      </c>
      <c r="B52" s="17">
        <v>4111</v>
      </c>
      <c r="C52" s="17">
        <v>-75415</v>
      </c>
      <c r="D52" s="17">
        <v>-216077</v>
      </c>
      <c r="E52" s="17">
        <v>-11977</v>
      </c>
      <c r="F52" s="17">
        <v>-18022</v>
      </c>
    </row>
    <row r="53" ht="15" customHeight="1">
      <c r="A53" s="19" t="s">
        <v>100</v>
      </c>
      <c r="B53" s="17">
        <f t="shared" si="14" ref="B53:F53">B48+B50+B51+B52</f>
        <v>22930</v>
      </c>
      <c r="C53" s="17">
        <f t="shared" si="14"/>
        <v>-70168.10119774306</v>
      </c>
      <c r="D53" s="17">
        <f t="shared" si="14"/>
        <v>-191709.8567985648</v>
      </c>
      <c r="E53" s="17">
        <f t="shared" si="14"/>
        <v>124065.06047023149</v>
      </c>
      <c r="F53" s="17">
        <f t="shared" si="14"/>
        <v>178770.19163024306</v>
      </c>
      <c r="G53" s="17">
        <f t="shared" si="15" ref="G53:Z53">G46+G50</f>
        <v>41970.920187372685</v>
      </c>
      <c r="H53" s="17">
        <f t="shared" si="15"/>
        <v>62766.85292868056</v>
      </c>
      <c r="I53" s="17">
        <f t="shared" si="15"/>
        <v>72317.24806746528</v>
      </c>
      <c r="J53" s="17">
        <f t="shared" si="15"/>
        <v>77306.25329799768</v>
      </c>
      <c r="K53" s="17">
        <f t="shared" si="15"/>
        <v>84105.62995368056</v>
      </c>
      <c r="L53" s="17">
        <f t="shared" si="15"/>
        <v>89955.9858453588</v>
      </c>
      <c r="M53" s="17">
        <f t="shared" si="15"/>
        <v>95942.30111409722</v>
      </c>
      <c r="N53" s="17">
        <f t="shared" si="15"/>
        <v>103063.57651087963</v>
      </c>
      <c r="O53" s="17">
        <f t="shared" si="15"/>
        <v>110022.87133275463</v>
      </c>
      <c r="P53" s="17">
        <f t="shared" si="15"/>
        <v>117144.94392252315</v>
      </c>
      <c r="Q53" s="17">
        <f t="shared" si="15"/>
        <v>126461.77933655093</v>
      </c>
      <c r="R53" s="17">
        <f t="shared" si="15"/>
        <v>129609.69258240741</v>
      </c>
      <c r="S53" s="17">
        <f t="shared" si="15"/>
        <v>139347.32539420138</v>
      </c>
      <c r="T53" s="17">
        <f t="shared" si="15"/>
        <v>150475.62436599538</v>
      </c>
      <c r="U53" s="17">
        <f t="shared" si="15"/>
        <v>162947.4900362037</v>
      </c>
      <c r="V53" s="17">
        <f t="shared" si="15"/>
        <v>176937.88603574075</v>
      </c>
      <c r="W53" s="17">
        <f t="shared" si="15"/>
        <v>192485.6454337037</v>
      </c>
      <c r="X53" s="17">
        <f t="shared" si="15"/>
        <v>209810.44743899305</v>
      </c>
      <c r="Y53" s="17">
        <f t="shared" si="15"/>
        <v>229154.31127332177</v>
      </c>
      <c r="Z53" s="17">
        <f t="shared" si="15"/>
        <v>250451.8229450926</v>
      </c>
    </row>
    <row r="54" ht="15" customHeight="1">
      <c r="A54" s="12" t="s">
        <v>101</v>
      </c>
      <c r="C54" s="17">
        <v>31885</v>
      </c>
      <c r="D54" s="17">
        <v>10067</v>
      </c>
      <c r="E54" s="17">
        <v>19716</v>
      </c>
      <c r="F54" s="17">
        <v>21255</v>
      </c>
      <c r="G54" s="17">
        <f t="shared" si="16" ref="G54:Z54">MAX(0,G53*G32)</f>
        <v>6295.638028101852</v>
      </c>
      <c r="H54" s="17">
        <f t="shared" si="16"/>
        <v>11298.033527164353</v>
      </c>
      <c r="I54" s="17">
        <f t="shared" si="16"/>
        <v>14463.44961349537</v>
      </c>
      <c r="J54" s="17">
        <f t="shared" si="16"/>
        <v>16234.31319258102</v>
      </c>
      <c r="K54" s="17">
        <f t="shared" si="16"/>
        <v>17662.18229027778</v>
      </c>
      <c r="L54" s="17">
        <f t="shared" si="16"/>
        <v>18890.75702752315</v>
      </c>
      <c r="M54" s="17">
        <f t="shared" si="16"/>
        <v>20147.883233958335</v>
      </c>
      <c r="N54" s="17">
        <f t="shared" si="16"/>
        <v>21643.35106728009</v>
      </c>
      <c r="O54" s="17">
        <f t="shared" si="16"/>
        <v>23104.802979872686</v>
      </c>
      <c r="P54" s="17">
        <f t="shared" si="16"/>
        <v>24600.43822372685</v>
      </c>
      <c r="Q54" s="17">
        <f t="shared" si="16"/>
        <v>26556.973660671298</v>
      </c>
      <c r="R54" s="17">
        <f t="shared" si="16"/>
        <v>27218.03544230324</v>
      </c>
      <c r="S54" s="17">
        <f t="shared" si="16"/>
        <v>29262.93833277778</v>
      </c>
      <c r="T54" s="17">
        <f t="shared" si="16"/>
        <v>31599.881116863427</v>
      </c>
      <c r="U54" s="17">
        <f t="shared" si="16"/>
        <v>34218.97290760417</v>
      </c>
      <c r="V54" s="17">
        <f t="shared" si="16"/>
        <v>37156.9560675</v>
      </c>
      <c r="W54" s="17">
        <f t="shared" si="16"/>
        <v>40421.98554107639</v>
      </c>
      <c r="X54" s="17">
        <f t="shared" si="16"/>
        <v>44060.1939621875</v>
      </c>
      <c r="Y54" s="17">
        <f t="shared" si="16"/>
        <v>48122.40536739583</v>
      </c>
      <c r="Z54" s="17">
        <f t="shared" si="16"/>
        <v>52594.88281847222</v>
      </c>
    </row>
    <row r="55" ht="15" customHeight="1">
      <c r="A55" s="20" t="s">
        <v>102</v>
      </c>
      <c r="B55" s="17">
        <v>-1166391</v>
      </c>
      <c r="C55" s="17">
        <v>-520379</v>
      </c>
      <c r="D55" s="17">
        <v>-371094</v>
      </c>
      <c r="E55" s="17">
        <v>217375</v>
      </c>
      <c r="F55" s="17">
        <v>467918</v>
      </c>
      <c r="G55" s="17">
        <f t="shared" si="2"/>
        <v>35675.282159270835</v>
      </c>
      <c r="H55" s="17">
        <f t="shared" si="2"/>
        <v>51468.8194015162</v>
      </c>
      <c r="I55" s="17">
        <f t="shared" si="2"/>
        <v>57853.79845396991</v>
      </c>
      <c r="J55" s="17">
        <f t="shared" si="2"/>
        <v>61071.94010541667</v>
      </c>
      <c r="K55" s="17">
        <f t="shared" si="2"/>
        <v>66443.44766340278</v>
      </c>
      <c r="L55" s="17">
        <f t="shared" si="2"/>
        <v>71065.22881783565</v>
      </c>
      <c r="M55" s="17">
        <f t="shared" si="2"/>
        <v>75794.41788013889</v>
      </c>
      <c r="N55" s="17">
        <f t="shared" si="2"/>
        <v>81420.22544358796</v>
      </c>
      <c r="O55" s="17">
        <f t="shared" si="2"/>
        <v>86918.06835287037</v>
      </c>
      <c r="P55" s="17">
        <f t="shared" si="2"/>
        <v>92544.5056987963</v>
      </c>
      <c r="Q55" s="17">
        <f t="shared" si="2"/>
        <v>99904.80567587963</v>
      </c>
      <c r="R55" s="17">
        <f t="shared" si="2"/>
        <v>102391.65714010417</v>
      </c>
      <c r="S55" s="17">
        <f t="shared" si="2"/>
        <v>110084.38706142361</v>
      </c>
      <c r="T55" s="17">
        <f t="shared" si="2"/>
        <v>118875.74324914352</v>
      </c>
      <c r="U55" s="17">
        <f t="shared" si="2"/>
        <v>128728.51712859953</v>
      </c>
      <c r="V55" s="17">
        <f t="shared" si="2"/>
        <v>139780.92996822917</v>
      </c>
      <c r="W55" s="17">
        <f t="shared" si="2"/>
        <v>152063.65989262733</v>
      </c>
      <c r="X55" s="17">
        <f t="shared" si="2"/>
        <v>165750.25347680555</v>
      </c>
      <c r="Y55" s="17">
        <f t="shared" si="2"/>
        <v>181031.90590592593</v>
      </c>
      <c r="Z55" s="17">
        <f t="shared" si="2"/>
        <v>197856.94012663193</v>
      </c>
    </row>
    <row r="56" ht="15" customHeight="1">
      <c r="A56" s="20" t="s">
        <v>103</v>
      </c>
      <c r="B56" s="13">
        <f t="shared" si="17" ref="B56:F56">B55/B36</f>
        <v>-1372.22470588235</v>
      </c>
      <c r="C56" s="13">
        <f t="shared" si="17"/>
        <v>-0.337494462960693</v>
      </c>
      <c r="D56" s="13">
        <f t="shared" si="17"/>
        <v>-0.194710974667226</v>
      </c>
      <c r="E56" s="13">
        <f t="shared" si="17"/>
        <v>271.71875</v>
      </c>
      <c r="F56" s="13">
        <f t="shared" si="17"/>
        <v>0.163293267125154</v>
      </c>
    </row>
    <row r="57" ht="15" customHeight="1">
      <c r="A57" s="20" t="s">
        <v>104</v>
      </c>
      <c r="B57" s="13">
        <f t="shared" si="18" ref="B57:Z57">B55/B36</f>
        <v>-1372.22470588235</v>
      </c>
      <c r="C57" s="13">
        <f t="shared" si="18"/>
        <v>-0.337494462960693</v>
      </c>
      <c r="D57" s="13">
        <f t="shared" si="18"/>
        <v>-0.194710974667226</v>
      </c>
      <c r="E57" s="13">
        <f t="shared" si="18"/>
        <v>271.71875</v>
      </c>
      <c r="F57" s="13">
        <f t="shared" si="18"/>
        <v>0.163293267125154</v>
      </c>
      <c r="G57" s="13">
        <f t="shared" si="18"/>
        <v>0.00995992183142948</v>
      </c>
      <c r="H57" s="13">
        <f t="shared" si="18"/>
        <v>68.625092535362</v>
      </c>
      <c r="I57" s="13">
        <f t="shared" si="18"/>
        <v>64.2819982821938</v>
      </c>
      <c r="J57" s="13">
        <f t="shared" si="18"/>
        <v>57.5065349391907</v>
      </c>
      <c r="K57" s="13">
        <f t="shared" si="18"/>
        <v>94.9192109477221</v>
      </c>
      <c r="L57" s="13">
        <f t="shared" si="18"/>
        <v>88.2797873513415</v>
      </c>
      <c r="M57" s="13">
        <f t="shared" si="18"/>
        <v>82.5917161165275</v>
      </c>
      <c r="N57" s="13">
        <f t="shared" si="18"/>
        <v>125.261885297832</v>
      </c>
      <c r="O57" s="13">
        <f t="shared" si="18"/>
        <v>119.392951034168</v>
      </c>
      <c r="P57" s="13">
        <f t="shared" si="18"/>
        <v>114.523940326202</v>
      </c>
      <c r="Q57" s="13">
        <f t="shared" si="18"/>
        <v>166.508009459796</v>
      </c>
      <c r="R57" s="13">
        <f t="shared" si="18"/>
        <v>156.562166880887</v>
      </c>
      <c r="S57" s="13">
        <f t="shared" si="18"/>
        <v>155.856250794855</v>
      </c>
      <c r="T57" s="13">
        <f t="shared" si="18"/>
        <v>216.137714998433</v>
      </c>
      <c r="U57" s="13">
        <f t="shared" si="18"/>
        <v>220.803631438415</v>
      </c>
      <c r="V57" s="13">
        <f t="shared" si="18"/>
        <v>228.34424563952</v>
      </c>
      <c r="W57" s="13">
        <f t="shared" si="18"/>
        <v>304.127319785256</v>
      </c>
      <c r="X57" s="13">
        <f t="shared" si="18"/>
        <v>318.750487455398</v>
      </c>
      <c r="Y57" s="13">
        <f t="shared" si="18"/>
        <v>334.748346719532</v>
      </c>
      <c r="Z57" s="13">
        <f t="shared" si="18"/>
        <v>355.203618024766</v>
      </c>
    </row>
    <row r="58" ht="15" customHeight="1">
      <c r="A58" s="20" t="s">
        <v>105</v>
      </c>
    </row>
    <row r="59" ht="15" customHeight="1">
      <c r="A59" s="20" t="s">
        <v>106</v>
      </c>
    </row>
    <row r="60" ht="15" customHeight="1">
      <c r="A60" s="21" t="s">
        <v>107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" customHeight="1">
      <c r="A61" s="20" t="s">
        <v>108</v>
      </c>
    </row>
    <row r="62" ht="15" customHeight="1">
      <c r="A62" s="20" t="s">
        <v>109</v>
      </c>
    </row>
    <row r="63" ht="15" customHeight="1">
      <c r="A63" s="22" t="s">
        <v>110</v>
      </c>
    </row>
    <row r="64" ht="15" customHeight="1">
      <c r="A64" s="12" t="s">
        <v>111</v>
      </c>
      <c r="D64" s="17">
        <v>2598540</v>
      </c>
      <c r="E64" s="17">
        <v>831047</v>
      </c>
      <c r="F64" s="17">
        <v>2098524</v>
      </c>
      <c r="G64" s="17">
        <f>F64+G36*0.25</f>
        <v>2993994.9375</v>
      </c>
      <c r="H64" s="17">
        <f t="shared" si="19" ref="H64:Z64">G64+H36*0.20</f>
        <v>2994144.9375</v>
      </c>
      <c r="I64" s="17">
        <f t="shared" si="19"/>
        <v>2994324.9375</v>
      </c>
      <c r="J64" s="17">
        <f t="shared" si="19"/>
        <v>2994537.3375</v>
      </c>
      <c r="K64" s="17">
        <f t="shared" si="19"/>
        <v>2994677.3375</v>
      </c>
      <c r="L64" s="17">
        <f t="shared" si="19"/>
        <v>2994838.3375</v>
      </c>
      <c r="M64" s="17">
        <f t="shared" si="19"/>
        <v>2995021.8775</v>
      </c>
      <c r="N64" s="17">
        <f t="shared" si="19"/>
        <v>2995151.8775</v>
      </c>
      <c r="O64" s="17">
        <f t="shared" si="19"/>
        <v>2995297.4775</v>
      </c>
      <c r="P64" s="17">
        <f t="shared" si="19"/>
        <v>2995459.0935</v>
      </c>
      <c r="Q64" s="17">
        <f t="shared" si="19"/>
        <v>2995579.0935</v>
      </c>
      <c r="R64" s="17">
        <f t="shared" si="19"/>
        <v>2995709.8935</v>
      </c>
      <c r="S64" s="17">
        <f t="shared" si="19"/>
        <v>2995851.1575</v>
      </c>
      <c r="T64" s="17">
        <f t="shared" si="19"/>
        <v>2995961.1575</v>
      </c>
      <c r="U64" s="17">
        <f t="shared" si="19"/>
        <v>2996077.7575</v>
      </c>
      <c r="V64" s="17">
        <f t="shared" si="19"/>
        <v>2996200.1875</v>
      </c>
      <c r="W64" s="17">
        <f t="shared" si="19"/>
        <v>2996300.1875</v>
      </c>
      <c r="X64" s="17">
        <f t="shared" si="19"/>
        <v>2996404.1875</v>
      </c>
      <c r="Y64" s="17">
        <f t="shared" si="19"/>
        <v>2996512.3475</v>
      </c>
      <c r="Z64" s="17">
        <f t="shared" si="19"/>
        <v>2996623.7523</v>
      </c>
    </row>
    <row r="65" ht="15" customHeight="1">
      <c r="A65" s="23" t="s">
        <v>112</v>
      </c>
      <c r="B65" s="11">
        <f t="shared" si="20" ref="B65:Y65">B43</f>
        <v>341234</v>
      </c>
      <c r="C65" s="11">
        <f t="shared" si="20"/>
        <v>375644</v>
      </c>
      <c r="D65" s="11">
        <f t="shared" si="20"/>
        <v>392146</v>
      </c>
      <c r="E65" s="11">
        <f t="shared" si="20"/>
        <v>432867</v>
      </c>
      <c r="F65" s="11">
        <f t="shared" si="20"/>
        <v>446361</v>
      </c>
      <c r="G65" s="11">
        <f t="shared" si="20"/>
        <v>473010</v>
      </c>
      <c r="H65" s="11">
        <f t="shared" si="20"/>
        <v>477880</v>
      </c>
      <c r="I65" s="11">
        <f t="shared" si="20"/>
        <v>508624</v>
      </c>
      <c r="J65" s="11">
        <f t="shared" si="20"/>
        <v>525186</v>
      </c>
      <c r="K65" s="11">
        <f t="shared" si="20"/>
        <v>533317</v>
      </c>
      <c r="L65" s="11">
        <f t="shared" si="20"/>
        <v>558165</v>
      </c>
      <c r="M65" s="11">
        <f t="shared" si="20"/>
        <v>608351</v>
      </c>
      <c r="N65" s="11">
        <f t="shared" si="20"/>
        <v>634337</v>
      </c>
      <c r="O65" s="11">
        <f t="shared" si="20"/>
        <v>678134</v>
      </c>
      <c r="P65" s="11">
        <f t="shared" si="20"/>
        <v>725522</v>
      </c>
      <c r="Q65" s="11">
        <f t="shared" si="20"/>
        <v>827514</v>
      </c>
      <c r="R65" s="11">
        <f t="shared" si="20"/>
        <v>910265.4</v>
      </c>
      <c r="S65" s="11">
        <f t="shared" si="20"/>
        <v>983086.632</v>
      </c>
      <c r="T65" s="11">
        <f t="shared" si="20"/>
        <v>1061733.56256</v>
      </c>
      <c r="U65" s="11">
        <f t="shared" si="20"/>
        <v>1146672.2475648</v>
      </c>
      <c r="V65" s="11">
        <f t="shared" si="20"/>
        <v>1238406.02736998</v>
      </c>
      <c r="W65" s="11">
        <f t="shared" si="20"/>
        <v>1337478.50955958</v>
      </c>
      <c r="X65" s="11">
        <f t="shared" si="20"/>
        <v>1444476.79032435</v>
      </c>
      <c r="Y65" s="11">
        <f t="shared" si="20"/>
        <v>1560034.9335503</v>
      </c>
      <c r="Z65" s="17">
        <f>Y65*1.05</f>
        <v>1638036.680227824</v>
      </c>
    </row>
    <row r="66" ht="15" customHeight="1">
      <c r="A66" s="12" t="s">
        <v>113</v>
      </c>
      <c r="B66" s="11">
        <f t="shared" si="21" ref="B66:Y66">B41*0.198</f>
        <v>0</v>
      </c>
      <c r="C66" s="11">
        <f t="shared" si="21"/>
        <v>0</v>
      </c>
      <c r="D66" s="11">
        <f t="shared" si="21"/>
        <v>0</v>
      </c>
      <c r="E66" s="11">
        <f t="shared" si="21"/>
        <v>0</v>
      </c>
      <c r="F66" s="11">
        <f t="shared" si="21"/>
        <v>0</v>
      </c>
      <c r="G66" s="11">
        <f t="shared" si="21"/>
        <v>212763.89475</v>
      </c>
      <c r="H66" s="11">
        <f t="shared" si="21"/>
        <v>43.8075</v>
      </c>
      <c r="I66" s="11">
        <f t="shared" si="21"/>
        <v>51.678</v>
      </c>
      <c r="J66" s="11">
        <f t="shared" si="21"/>
        <v>59.92866</v>
      </c>
      <c r="K66" s="11">
        <f t="shared" si="21"/>
        <v>38.808</v>
      </c>
      <c r="L66" s="11">
        <f t="shared" si="21"/>
        <v>43.83225</v>
      </c>
      <c r="M66" s="11">
        <f t="shared" si="21"/>
        <v>49.060242</v>
      </c>
      <c r="N66" s="11">
        <f t="shared" si="21"/>
        <v>34.1055</v>
      </c>
      <c r="O66" s="11">
        <f t="shared" si="21"/>
        <v>37.47744</v>
      </c>
      <c r="P66" s="11">
        <f t="shared" si="21"/>
        <v>40.7999592</v>
      </c>
      <c r="Q66" s="11">
        <f t="shared" si="21"/>
        <v>29.7</v>
      </c>
      <c r="R66" s="11">
        <f t="shared" si="21"/>
        <v>31.72554</v>
      </c>
      <c r="S66" s="11">
        <f t="shared" si="21"/>
        <v>33.5643264</v>
      </c>
      <c r="T66" s="11">
        <f t="shared" si="21"/>
        <v>25.5915</v>
      </c>
      <c r="U66" s="11">
        <f t="shared" si="21"/>
        <v>26.54982</v>
      </c>
      <c r="V66" s="11">
        <f t="shared" si="21"/>
        <v>27.2712825</v>
      </c>
      <c r="W66" s="11">
        <f t="shared" si="21"/>
        <v>21.78</v>
      </c>
      <c r="X66" s="11">
        <f t="shared" si="21"/>
        <v>22.1364</v>
      </c>
      <c r="Y66" s="11">
        <f t="shared" si="21"/>
        <v>22.486464</v>
      </c>
      <c r="Z66" s="17">
        <f>Z36*45.75/365</f>
        <v>69.81876164351851</v>
      </c>
    </row>
    <row r="67" ht="15" customHeight="1">
      <c r="A67" s="12" t="s">
        <v>114</v>
      </c>
      <c r="B67" s="11">
        <f t="shared" si="22" ref="B67:Y94">B41</f>
        <v>0</v>
      </c>
      <c r="C67" s="11">
        <f t="shared" si="22"/>
        <v>0</v>
      </c>
      <c r="D67" s="11">
        <f t="shared" si="22"/>
        <v>0</v>
      </c>
      <c r="E67" s="11">
        <f t="shared" si="22"/>
        <v>0</v>
      </c>
      <c r="F67" s="11">
        <f t="shared" si="22"/>
        <v>0</v>
      </c>
      <c r="G67" s="11">
        <f t="shared" si="22"/>
        <v>1074565.125</v>
      </c>
      <c r="H67" s="11">
        <f t="shared" si="22"/>
        <v>221.25</v>
      </c>
      <c r="I67" s="11">
        <f t="shared" si="22"/>
        <v>261</v>
      </c>
      <c r="J67" s="11">
        <f t="shared" si="22"/>
        <v>302.67</v>
      </c>
      <c r="K67" s="11">
        <f t="shared" si="22"/>
        <v>196</v>
      </c>
      <c r="L67" s="11">
        <f t="shared" si="22"/>
        <v>221.375</v>
      </c>
      <c r="M67" s="11">
        <f t="shared" si="22"/>
        <v>247.779</v>
      </c>
      <c r="N67" s="11">
        <f t="shared" si="22"/>
        <v>172.25</v>
      </c>
      <c r="O67" s="11">
        <f t="shared" si="22"/>
        <v>189.28</v>
      </c>
      <c r="P67" s="11">
        <f t="shared" si="22"/>
        <v>206.0604</v>
      </c>
      <c r="Q67" s="11">
        <f t="shared" si="22"/>
        <v>150</v>
      </c>
      <c r="R67" s="11">
        <f t="shared" si="22"/>
        <v>160.23</v>
      </c>
      <c r="S67" s="11">
        <f t="shared" si="22"/>
        <v>169.5168</v>
      </c>
      <c r="T67" s="11">
        <f t="shared" si="22"/>
        <v>129.25</v>
      </c>
      <c r="U67" s="11">
        <f t="shared" si="22"/>
        <v>134.09</v>
      </c>
      <c r="V67" s="11">
        <f t="shared" si="22"/>
        <v>137.73375</v>
      </c>
      <c r="W67" s="11">
        <f t="shared" si="22"/>
        <v>110</v>
      </c>
      <c r="X67" s="11">
        <f t="shared" si="22"/>
        <v>111.8</v>
      </c>
      <c r="Y67" s="11">
        <f t="shared" si="22"/>
        <v>113.568</v>
      </c>
      <c r="Z67" s="17">
        <f>Z36*0.03</f>
        <v>16.71072</v>
      </c>
    </row>
    <row r="68" ht="15" customHeight="1">
      <c r="A68" s="12" t="s">
        <v>115</v>
      </c>
      <c r="B68" s="11">
        <f t="shared" si="23" ref="B68:Y68">B65*0.198</f>
        <v>67564.332</v>
      </c>
      <c r="C68" s="11">
        <f t="shared" si="23"/>
        <v>74377.512</v>
      </c>
      <c r="D68" s="11">
        <f t="shared" si="23"/>
        <v>77644.908</v>
      </c>
      <c r="E68" s="11">
        <f t="shared" si="23"/>
        <v>85707.666</v>
      </c>
      <c r="F68" s="11">
        <f t="shared" si="23"/>
        <v>88379.478</v>
      </c>
      <c r="G68" s="11">
        <f t="shared" si="23"/>
        <v>93655.98</v>
      </c>
      <c r="H68" s="11">
        <f t="shared" si="23"/>
        <v>94620.24</v>
      </c>
      <c r="I68" s="11">
        <f t="shared" si="23"/>
        <v>100707.552</v>
      </c>
      <c r="J68" s="11">
        <f t="shared" si="23"/>
        <v>103986.828</v>
      </c>
      <c r="K68" s="11">
        <f t="shared" si="23"/>
        <v>105596.766</v>
      </c>
      <c r="L68" s="11">
        <f t="shared" si="23"/>
        <v>110516.67</v>
      </c>
      <c r="M68" s="11">
        <f t="shared" si="23"/>
        <v>120453.498</v>
      </c>
      <c r="N68" s="11">
        <f t="shared" si="23"/>
        <v>125598.726</v>
      </c>
      <c r="O68" s="11">
        <f t="shared" si="23"/>
        <v>134270.532</v>
      </c>
      <c r="P68" s="11">
        <f t="shared" si="23"/>
        <v>143653.356</v>
      </c>
      <c r="Q68" s="11">
        <f t="shared" si="23"/>
        <v>163847.772</v>
      </c>
      <c r="R68" s="11">
        <f t="shared" si="23"/>
        <v>180232.5492</v>
      </c>
      <c r="S68" s="11">
        <f t="shared" si="23"/>
        <v>194651.153136</v>
      </c>
      <c r="T68" s="11">
        <f t="shared" si="23"/>
        <v>210223.24538688</v>
      </c>
      <c r="U68" s="11">
        <f t="shared" si="23"/>
        <v>227041.10501783</v>
      </c>
      <c r="V68" s="11">
        <f t="shared" si="23"/>
        <v>245204.393419256</v>
      </c>
      <c r="W68" s="11">
        <f t="shared" si="23"/>
        <v>264820.744892797</v>
      </c>
      <c r="X68" s="11">
        <f t="shared" si="23"/>
        <v>286006.404484221</v>
      </c>
      <c r="Y68" s="11">
        <f t="shared" si="23"/>
        <v>308886.916842959</v>
      </c>
      <c r="Z68" s="17">
        <f>Z64+Z65+Z66+Z67</f>
        <v>4634746.962009456</v>
      </c>
    </row>
    <row r="69" ht="15" customHeight="1">
      <c r="A69" s="12" t="s">
        <v>86</v>
      </c>
      <c r="B69" s="11">
        <f t="shared" si="24" ref="B69:Y69">B65-B66</f>
        <v>341234</v>
      </c>
      <c r="C69" s="11">
        <f t="shared" si="24"/>
        <v>375644</v>
      </c>
      <c r="D69" s="11">
        <f t="shared" si="24"/>
        <v>392146</v>
      </c>
      <c r="E69" s="11">
        <f t="shared" si="24"/>
        <v>432867</v>
      </c>
      <c r="F69" s="11">
        <f t="shared" si="24"/>
        <v>446361</v>
      </c>
      <c r="G69" s="11">
        <f t="shared" si="24"/>
        <v>260246.10525</v>
      </c>
      <c r="H69" s="11">
        <f t="shared" si="24"/>
        <v>477836.1925</v>
      </c>
      <c r="I69" s="11">
        <f t="shared" si="24"/>
        <v>508572.322</v>
      </c>
      <c r="J69" s="11">
        <f t="shared" si="24"/>
        <v>525126.07134</v>
      </c>
      <c r="K69" s="11">
        <f t="shared" si="24"/>
        <v>533278.192</v>
      </c>
      <c r="L69" s="11">
        <f t="shared" si="24"/>
        <v>558121.16775</v>
      </c>
      <c r="M69" s="11">
        <f t="shared" si="24"/>
        <v>608301.939758</v>
      </c>
      <c r="N69" s="11">
        <f t="shared" si="24"/>
        <v>634302.8945</v>
      </c>
      <c r="O69" s="11">
        <f t="shared" si="24"/>
        <v>678096.52256</v>
      </c>
      <c r="P69" s="11">
        <f t="shared" si="24"/>
        <v>725481.2000408</v>
      </c>
      <c r="Q69" s="11">
        <f t="shared" si="24"/>
        <v>827484.3</v>
      </c>
      <c r="R69" s="11">
        <f t="shared" si="24"/>
        <v>910233.67446</v>
      </c>
      <c r="S69" s="11">
        <f t="shared" si="24"/>
        <v>983053.0676736</v>
      </c>
      <c r="T69" s="11">
        <f t="shared" si="24"/>
        <v>1061707.97106</v>
      </c>
      <c r="U69" s="11">
        <f t="shared" si="24"/>
        <v>1146645.6977448</v>
      </c>
      <c r="V69" s="11">
        <f t="shared" si="24"/>
        <v>1238378.75608748</v>
      </c>
      <c r="W69" s="11">
        <f t="shared" si="24"/>
        <v>1337456.72955958</v>
      </c>
      <c r="X69" s="11">
        <f t="shared" si="24"/>
        <v>1444454.65392435</v>
      </c>
      <c r="Y69" s="11">
        <f t="shared" si="24"/>
        <v>1560012.4470863</v>
      </c>
      <c r="Z69" s="17">
        <f>Y69+Z36*0.02-Y69*0.05</f>
        <v>1482022.9652119908</v>
      </c>
    </row>
    <row r="70" ht="15" customHeight="1">
      <c r="A70" s="12" t="s">
        <v>87</v>
      </c>
      <c r="B70" s="11">
        <f t="shared" si="25" ref="B70:Y70">B41*0.31</f>
        <v>0</v>
      </c>
      <c r="C70" s="11">
        <f t="shared" si="25"/>
        <v>0</v>
      </c>
      <c r="D70" s="11">
        <f t="shared" si="25"/>
        <v>0</v>
      </c>
      <c r="E70" s="11">
        <f t="shared" si="25"/>
        <v>0</v>
      </c>
      <c r="F70" s="11">
        <f t="shared" si="25"/>
        <v>0</v>
      </c>
      <c r="G70" s="11">
        <f t="shared" si="25"/>
        <v>333115.18875</v>
      </c>
      <c r="H70" s="11">
        <f t="shared" si="25"/>
        <v>68.5875</v>
      </c>
      <c r="I70" s="11">
        <f t="shared" si="25"/>
        <v>80.91</v>
      </c>
      <c r="J70" s="11">
        <f t="shared" si="25"/>
        <v>93.8277</v>
      </c>
      <c r="K70" s="11">
        <f t="shared" si="25"/>
        <v>60.76</v>
      </c>
      <c r="L70" s="11">
        <f t="shared" si="25"/>
        <v>68.62625</v>
      </c>
      <c r="M70" s="11">
        <f t="shared" si="25"/>
        <v>76.81149</v>
      </c>
      <c r="N70" s="11">
        <f t="shared" si="25"/>
        <v>53.3975</v>
      </c>
      <c r="O70" s="11">
        <f t="shared" si="25"/>
        <v>58.6768</v>
      </c>
      <c r="P70" s="11">
        <f t="shared" si="25"/>
        <v>63.878724</v>
      </c>
      <c r="Q70" s="11">
        <f t="shared" si="25"/>
        <v>46.5</v>
      </c>
      <c r="R70" s="11">
        <f t="shared" si="25"/>
        <v>49.6713</v>
      </c>
      <c r="S70" s="11">
        <f t="shared" si="25"/>
        <v>52.550208</v>
      </c>
      <c r="T70" s="11">
        <f t="shared" si="25"/>
        <v>40.0675</v>
      </c>
      <c r="U70" s="11">
        <f t="shared" si="25"/>
        <v>41.5679</v>
      </c>
      <c r="V70" s="11">
        <f t="shared" si="25"/>
        <v>42.6974625</v>
      </c>
      <c r="W70" s="11">
        <f t="shared" si="25"/>
        <v>34.1</v>
      </c>
      <c r="X70" s="11">
        <f t="shared" si="25"/>
        <v>34.658</v>
      </c>
      <c r="Y70" s="11">
        <f t="shared" si="25"/>
        <v>35.20608</v>
      </c>
      <c r="Z70" s="17">
        <f>Z36*0.02</f>
        <v>11.14048</v>
      </c>
    </row>
    <row r="71" ht="15" customHeight="1">
      <c r="A71" s="12" t="s">
        <v>116</v>
      </c>
      <c r="B71" s="11">
        <f t="shared" si="26" ref="B71:Y71">B41*0.18</f>
        <v>0</v>
      </c>
      <c r="C71" s="11">
        <f t="shared" si="26"/>
        <v>0</v>
      </c>
      <c r="D71" s="11">
        <f t="shared" si="26"/>
        <v>0</v>
      </c>
      <c r="E71" s="11">
        <f t="shared" si="26"/>
        <v>0</v>
      </c>
      <c r="F71" s="11">
        <f t="shared" si="26"/>
        <v>0</v>
      </c>
      <c r="G71" s="11">
        <f t="shared" si="26"/>
        <v>193421.7225</v>
      </c>
      <c r="H71" s="11">
        <f t="shared" si="26"/>
        <v>39.825</v>
      </c>
      <c r="I71" s="11">
        <f t="shared" si="26"/>
        <v>46.98</v>
      </c>
      <c r="J71" s="11">
        <f t="shared" si="26"/>
        <v>54.4806</v>
      </c>
      <c r="K71" s="11">
        <f t="shared" si="26"/>
        <v>35.28</v>
      </c>
      <c r="L71" s="11">
        <f t="shared" si="26"/>
        <v>39.8475</v>
      </c>
      <c r="M71" s="11">
        <f t="shared" si="26"/>
        <v>44.60022</v>
      </c>
      <c r="N71" s="11">
        <f t="shared" si="26"/>
        <v>31.005</v>
      </c>
      <c r="O71" s="11">
        <f t="shared" si="26"/>
        <v>34.0704</v>
      </c>
      <c r="P71" s="11">
        <f t="shared" si="26"/>
        <v>37.090872</v>
      </c>
      <c r="Q71" s="11">
        <f t="shared" si="26"/>
        <v>27</v>
      </c>
      <c r="R71" s="11">
        <f t="shared" si="26"/>
        <v>28.8414</v>
      </c>
      <c r="S71" s="11">
        <f t="shared" si="26"/>
        <v>30.513024</v>
      </c>
      <c r="T71" s="11">
        <f t="shared" si="26"/>
        <v>23.265</v>
      </c>
      <c r="U71" s="11">
        <f t="shared" si="26"/>
        <v>24.1362</v>
      </c>
      <c r="V71" s="11">
        <f t="shared" si="26"/>
        <v>24.792075</v>
      </c>
      <c r="W71" s="11">
        <f t="shared" si="26"/>
        <v>19.8</v>
      </c>
      <c r="X71" s="11">
        <f t="shared" si="26"/>
        <v>20.124</v>
      </c>
      <c r="Y71" s="11">
        <f t="shared" si="26"/>
        <v>20.44224</v>
      </c>
      <c r="Z71" s="17">
        <f t="shared" si="27"/>
        <v>6116781.067701447</v>
      </c>
    </row>
    <row r="72" ht="15" customHeight="1">
      <c r="A72" s="22" t="s">
        <v>117</v>
      </c>
      <c r="B72" s="11">
        <f t="shared" si="28" ref="B72:Y72">B41*0.21</f>
        <v>0</v>
      </c>
      <c r="C72" s="11">
        <f t="shared" si="28"/>
        <v>0</v>
      </c>
      <c r="D72" s="11">
        <f t="shared" si="28"/>
        <v>0</v>
      </c>
      <c r="E72" s="11">
        <f t="shared" si="28"/>
        <v>0</v>
      </c>
      <c r="F72" s="11">
        <f t="shared" si="28"/>
        <v>0</v>
      </c>
      <c r="G72" s="11">
        <f t="shared" si="28"/>
        <v>225658.67625</v>
      </c>
      <c r="H72" s="11">
        <f t="shared" si="28"/>
        <v>46.4625</v>
      </c>
      <c r="I72" s="11">
        <f t="shared" si="28"/>
        <v>54.81</v>
      </c>
      <c r="J72" s="11">
        <f t="shared" si="28"/>
        <v>63.5607</v>
      </c>
      <c r="K72" s="11">
        <f t="shared" si="28"/>
        <v>41.16</v>
      </c>
      <c r="L72" s="11">
        <f t="shared" si="28"/>
        <v>46.48875</v>
      </c>
      <c r="M72" s="11">
        <f t="shared" si="28"/>
        <v>52.03359</v>
      </c>
      <c r="N72" s="11">
        <f t="shared" si="28"/>
        <v>36.1725</v>
      </c>
      <c r="O72" s="11">
        <f t="shared" si="28"/>
        <v>39.7488</v>
      </c>
      <c r="P72" s="11">
        <f t="shared" si="28"/>
        <v>43.272684</v>
      </c>
      <c r="Q72" s="11">
        <f t="shared" si="28"/>
        <v>31.5</v>
      </c>
      <c r="R72" s="11">
        <f t="shared" si="28"/>
        <v>33.6483</v>
      </c>
      <c r="S72" s="11">
        <f t="shared" si="28"/>
        <v>35.598528</v>
      </c>
      <c r="T72" s="11">
        <f t="shared" si="28"/>
        <v>27.1425</v>
      </c>
      <c r="U72" s="11">
        <f t="shared" si="28"/>
        <v>28.1589</v>
      </c>
      <c r="V72" s="11">
        <f t="shared" si="28"/>
        <v>28.9240875</v>
      </c>
      <c r="W72" s="11">
        <f t="shared" si="28"/>
        <v>23.1</v>
      </c>
      <c r="X72" s="11">
        <f t="shared" si="28"/>
        <v>23.478</v>
      </c>
      <c r="Y72" s="11">
        <f t="shared" si="28"/>
        <v>23.84928</v>
      </c>
    </row>
    <row r="73" ht="15" customHeight="1">
      <c r="A73" s="12" t="s">
        <v>89</v>
      </c>
      <c r="B73" s="11">
        <f t="shared" si="29" ref="B73:Y73">B65*0.31</f>
        <v>105782.54</v>
      </c>
      <c r="C73" s="11">
        <f t="shared" si="29"/>
        <v>116449.64</v>
      </c>
      <c r="D73" s="11">
        <f t="shared" si="29"/>
        <v>121565.26</v>
      </c>
      <c r="E73" s="11">
        <f t="shared" si="29"/>
        <v>134188.77</v>
      </c>
      <c r="F73" s="11">
        <f t="shared" si="29"/>
        <v>138371.91</v>
      </c>
      <c r="G73" s="11">
        <f t="shared" si="29"/>
        <v>146633.1</v>
      </c>
      <c r="H73" s="11">
        <f t="shared" si="29"/>
        <v>148142.8</v>
      </c>
      <c r="I73" s="11">
        <f t="shared" si="29"/>
        <v>157673.44</v>
      </c>
      <c r="J73" s="11">
        <f t="shared" si="29"/>
        <v>162807.66</v>
      </c>
      <c r="K73" s="11">
        <f t="shared" si="29"/>
        <v>165328.27</v>
      </c>
      <c r="L73" s="11">
        <f t="shared" si="29"/>
        <v>173031.15</v>
      </c>
      <c r="M73" s="11">
        <f t="shared" si="29"/>
        <v>188588.81</v>
      </c>
      <c r="N73" s="11">
        <f t="shared" si="29"/>
        <v>196644.47</v>
      </c>
      <c r="O73" s="11">
        <f t="shared" si="29"/>
        <v>210221.54</v>
      </c>
      <c r="P73" s="11">
        <f t="shared" si="29"/>
        <v>224911.82</v>
      </c>
      <c r="Q73" s="11">
        <f t="shared" si="29"/>
        <v>256529.34</v>
      </c>
      <c r="R73" s="11">
        <f t="shared" si="29"/>
        <v>282182.274</v>
      </c>
      <c r="S73" s="11">
        <f t="shared" si="29"/>
        <v>304756.85592</v>
      </c>
      <c r="T73" s="11">
        <f t="shared" si="29"/>
        <v>329137.4043936</v>
      </c>
      <c r="U73" s="11">
        <f t="shared" si="29"/>
        <v>355468.396745088</v>
      </c>
      <c r="V73" s="11">
        <f t="shared" si="29"/>
        <v>383905.868484694</v>
      </c>
      <c r="W73" s="11">
        <f t="shared" si="29"/>
        <v>414618.33796347</v>
      </c>
      <c r="X73" s="11">
        <f t="shared" si="29"/>
        <v>447787.805000548</v>
      </c>
      <c r="Y73" s="11">
        <f t="shared" si="29"/>
        <v>483610.829400593</v>
      </c>
    </row>
    <row r="74" ht="15" customHeight="1">
      <c r="A74" s="12" t="s">
        <v>118</v>
      </c>
      <c r="B74" s="11">
        <f t="shared" si="30" ref="B74:Y74">B65*0.18</f>
        <v>61422.12</v>
      </c>
      <c r="C74" s="11">
        <f t="shared" si="30"/>
        <v>67615.92</v>
      </c>
      <c r="D74" s="11">
        <f t="shared" si="30"/>
        <v>70586.28</v>
      </c>
      <c r="E74" s="11">
        <f t="shared" si="30"/>
        <v>77916.06</v>
      </c>
      <c r="F74" s="11">
        <f t="shared" si="30"/>
        <v>80344.98</v>
      </c>
      <c r="G74" s="11">
        <f t="shared" si="30"/>
        <v>85141.8</v>
      </c>
      <c r="H74" s="11">
        <f t="shared" si="30"/>
        <v>86018.4</v>
      </c>
      <c r="I74" s="11">
        <f t="shared" si="30"/>
        <v>91552.32</v>
      </c>
      <c r="J74" s="11">
        <f t="shared" si="30"/>
        <v>94533.48</v>
      </c>
      <c r="K74" s="11">
        <f t="shared" si="30"/>
        <v>95997.06</v>
      </c>
      <c r="L74" s="11">
        <f t="shared" si="30"/>
        <v>100469.7</v>
      </c>
      <c r="M74" s="11">
        <f t="shared" si="30"/>
        <v>109503.18</v>
      </c>
      <c r="N74" s="11">
        <f t="shared" si="30"/>
        <v>114180.66</v>
      </c>
      <c r="O74" s="11">
        <f t="shared" si="30"/>
        <v>122064.12</v>
      </c>
      <c r="P74" s="11">
        <f t="shared" si="30"/>
        <v>130593.96</v>
      </c>
      <c r="Q74" s="11">
        <f t="shared" si="30"/>
        <v>148952.52</v>
      </c>
      <c r="R74" s="11">
        <f t="shared" si="30"/>
        <v>163847.772</v>
      </c>
      <c r="S74" s="11">
        <f t="shared" si="30"/>
        <v>176955.59376</v>
      </c>
      <c r="T74" s="11">
        <f t="shared" si="30"/>
        <v>191112.0412608</v>
      </c>
      <c r="U74" s="11">
        <f t="shared" si="30"/>
        <v>206401.004561664</v>
      </c>
      <c r="V74" s="11">
        <f t="shared" si="30"/>
        <v>222913.084926596</v>
      </c>
      <c r="W74" s="11">
        <f t="shared" si="30"/>
        <v>240746.131720724</v>
      </c>
      <c r="X74" s="11">
        <f t="shared" si="30"/>
        <v>260005.822258383</v>
      </c>
      <c r="Y74" s="11">
        <f t="shared" si="30"/>
        <v>280806.288039054</v>
      </c>
    </row>
    <row r="75" ht="15" customHeight="1">
      <c r="A75" s="12" t="s">
        <v>119</v>
      </c>
      <c r="B75" s="11">
        <f t="shared" si="31" ref="B75:Y75">B65*0.21</f>
        <v>71659.14</v>
      </c>
      <c r="C75" s="11">
        <f t="shared" si="31"/>
        <v>78885.24</v>
      </c>
      <c r="D75" s="11">
        <f t="shared" si="31"/>
        <v>82350.66</v>
      </c>
      <c r="E75" s="11">
        <f t="shared" si="31"/>
        <v>90902.07</v>
      </c>
      <c r="F75" s="11">
        <f t="shared" si="31"/>
        <v>93735.81</v>
      </c>
      <c r="G75" s="11">
        <f t="shared" si="31"/>
        <v>99332.1</v>
      </c>
      <c r="H75" s="11">
        <f t="shared" si="31"/>
        <v>100354.8</v>
      </c>
      <c r="I75" s="11">
        <f t="shared" si="31"/>
        <v>106811.04</v>
      </c>
      <c r="J75" s="11">
        <f t="shared" si="31"/>
        <v>110289.06</v>
      </c>
      <c r="K75" s="11">
        <f t="shared" si="31"/>
        <v>111996.57</v>
      </c>
      <c r="L75" s="11">
        <f t="shared" si="31"/>
        <v>117214.65</v>
      </c>
      <c r="M75" s="11">
        <f t="shared" si="31"/>
        <v>127753.71</v>
      </c>
      <c r="N75" s="11">
        <f t="shared" si="31"/>
        <v>133210.77</v>
      </c>
      <c r="O75" s="11">
        <f t="shared" si="31"/>
        <v>142408.14</v>
      </c>
      <c r="P75" s="11">
        <f t="shared" si="31"/>
        <v>152359.62</v>
      </c>
      <c r="Q75" s="11">
        <f t="shared" si="31"/>
        <v>173777.94</v>
      </c>
      <c r="R75" s="11">
        <f t="shared" si="31"/>
        <v>191155.734</v>
      </c>
      <c r="S75" s="11">
        <f t="shared" si="31"/>
        <v>206448.19272</v>
      </c>
      <c r="T75" s="11">
        <f t="shared" si="31"/>
        <v>222964.0481376</v>
      </c>
      <c r="U75" s="11">
        <f t="shared" si="31"/>
        <v>240801.171988608</v>
      </c>
      <c r="V75" s="11">
        <f t="shared" si="31"/>
        <v>260065.265747696</v>
      </c>
      <c r="W75" s="11">
        <f t="shared" si="31"/>
        <v>280870.487007512</v>
      </c>
      <c r="X75" s="11">
        <f t="shared" si="31"/>
        <v>303340.125968113</v>
      </c>
      <c r="Y75" s="11">
        <f t="shared" si="31"/>
        <v>327607.336045563</v>
      </c>
    </row>
    <row r="76" ht="15" customHeight="1">
      <c r="A76" s="12" t="s">
        <v>120</v>
      </c>
      <c r="B76" s="11">
        <f t="shared" si="32" ref="B76:Y76">B41*0.065</f>
        <v>0</v>
      </c>
      <c r="C76" s="11">
        <f t="shared" si="32"/>
        <v>0</v>
      </c>
      <c r="D76" s="11">
        <f t="shared" si="32"/>
        <v>0</v>
      </c>
      <c r="E76" s="11">
        <f t="shared" si="32"/>
        <v>0</v>
      </c>
      <c r="F76" s="11">
        <f t="shared" si="32"/>
        <v>0</v>
      </c>
      <c r="G76" s="11">
        <f t="shared" si="32"/>
        <v>69846.733125</v>
      </c>
      <c r="H76" s="11">
        <f t="shared" si="32"/>
        <v>14.38125</v>
      </c>
      <c r="I76" s="11">
        <f t="shared" si="32"/>
        <v>16.965</v>
      </c>
      <c r="J76" s="11">
        <f t="shared" si="32"/>
        <v>19.67355</v>
      </c>
      <c r="K76" s="11">
        <f t="shared" si="32"/>
        <v>12.74</v>
      </c>
      <c r="L76" s="11">
        <f t="shared" si="32"/>
        <v>14.389375</v>
      </c>
      <c r="M76" s="11">
        <f t="shared" si="32"/>
        <v>16.105635</v>
      </c>
      <c r="N76" s="11">
        <f t="shared" si="32"/>
        <v>11.19625</v>
      </c>
      <c r="O76" s="11">
        <f t="shared" si="32"/>
        <v>12.3032</v>
      </c>
      <c r="P76" s="11">
        <f t="shared" si="32"/>
        <v>13.393926</v>
      </c>
      <c r="Q76" s="11">
        <f t="shared" si="32"/>
        <v>9.75</v>
      </c>
      <c r="R76" s="11">
        <f t="shared" si="32"/>
        <v>10.41495</v>
      </c>
      <c r="S76" s="11">
        <f t="shared" si="32"/>
        <v>11.018592</v>
      </c>
      <c r="T76" s="11">
        <f t="shared" si="32"/>
        <v>8.40125</v>
      </c>
      <c r="U76" s="11">
        <f t="shared" si="32"/>
        <v>8.71585</v>
      </c>
      <c r="V76" s="11">
        <f t="shared" si="32"/>
        <v>8.95269375</v>
      </c>
      <c r="W76" s="11">
        <f t="shared" si="32"/>
        <v>7.15</v>
      </c>
      <c r="X76" s="11">
        <f t="shared" si="32"/>
        <v>7.267</v>
      </c>
      <c r="Y76" s="11">
        <f t="shared" si="32"/>
        <v>7.38192</v>
      </c>
    </row>
    <row r="77" ht="15" customHeight="1">
      <c r="A77" s="12" t="s">
        <v>121</v>
      </c>
      <c r="B77" s="11">
        <f t="shared" si="33" ref="B77:Q77">B43*0.11</f>
        <v>37535.74</v>
      </c>
      <c r="C77" s="11">
        <f t="shared" si="33"/>
        <v>41320.84</v>
      </c>
      <c r="D77" s="11">
        <f t="shared" si="33"/>
        <v>43136.06</v>
      </c>
      <c r="E77" s="11">
        <f t="shared" si="33"/>
        <v>47615.37</v>
      </c>
      <c r="F77" s="11">
        <f t="shared" si="33"/>
        <v>49099.71</v>
      </c>
      <c r="G77" s="11">
        <f t="shared" si="33"/>
        <v>52031.1</v>
      </c>
      <c r="H77" s="11">
        <f t="shared" si="33"/>
        <v>52566.8</v>
      </c>
      <c r="I77" s="11">
        <f t="shared" si="33"/>
        <v>55948.64</v>
      </c>
      <c r="J77" s="11">
        <f t="shared" si="33"/>
        <v>57770.46</v>
      </c>
      <c r="K77" s="11">
        <f t="shared" si="33"/>
        <v>58664.87</v>
      </c>
      <c r="L77" s="11">
        <f t="shared" si="33"/>
        <v>61398.15</v>
      </c>
      <c r="M77" s="11">
        <f t="shared" si="33"/>
        <v>66918.61</v>
      </c>
      <c r="N77" s="11">
        <f t="shared" si="33"/>
        <v>69777.07</v>
      </c>
      <c r="O77" s="11">
        <f t="shared" si="33"/>
        <v>74594.74</v>
      </c>
      <c r="P77" s="11">
        <f t="shared" si="33"/>
        <v>79807.42</v>
      </c>
      <c r="Q77" s="11">
        <f t="shared" si="33"/>
        <v>91026.54</v>
      </c>
      <c r="R77" s="11">
        <f>R43*0.15</f>
        <v>136539.81</v>
      </c>
      <c r="S77" s="11">
        <f>S43*0.16999999999999998</f>
        <v>167124.72744</v>
      </c>
      <c r="T77" s="11">
        <f>T43*0.19</f>
        <v>201729.3768864</v>
      </c>
      <c r="U77" s="11">
        <f>U43*0.21</f>
        <v>240801.171988608</v>
      </c>
      <c r="V77" s="11">
        <f>V43*0.22999999999999998</f>
        <v>284833.386295095</v>
      </c>
      <c r="W77" s="11">
        <f>W43*0.25</f>
        <v>334369.627389895</v>
      </c>
      <c r="X77" s="11">
        <f>X43*0.27</f>
        <v>390008.733387574</v>
      </c>
      <c r="Y77" s="11">
        <f>Y43*0.29000000000000004</f>
        <v>452410.130729587</v>
      </c>
    </row>
    <row r="78" ht="15" customHeight="1">
      <c r="A78" s="12" t="s">
        <v>122</v>
      </c>
      <c r="B78" s="13">
        <f t="shared" si="34" ref="B78:Y78">B74/B65</f>
        <v>0.18</v>
      </c>
      <c r="C78" s="13">
        <f t="shared" si="34"/>
        <v>0.18</v>
      </c>
      <c r="D78" s="13">
        <f t="shared" si="34"/>
        <v>0.18</v>
      </c>
      <c r="E78" s="13">
        <f t="shared" si="34"/>
        <v>0.18</v>
      </c>
      <c r="F78" s="13">
        <f t="shared" si="34"/>
        <v>0.18</v>
      </c>
      <c r="G78" s="13">
        <f t="shared" si="34"/>
        <v>0.18</v>
      </c>
      <c r="H78" s="13">
        <f t="shared" si="34"/>
        <v>0.18</v>
      </c>
      <c r="I78" s="13">
        <f t="shared" si="34"/>
        <v>0.18</v>
      </c>
      <c r="J78" s="13">
        <f t="shared" si="34"/>
        <v>0.18</v>
      </c>
      <c r="K78" s="13">
        <f t="shared" si="34"/>
        <v>0.18</v>
      </c>
      <c r="L78" s="13">
        <f t="shared" si="34"/>
        <v>0.18</v>
      </c>
      <c r="M78" s="13">
        <f t="shared" si="34"/>
        <v>0.18</v>
      </c>
      <c r="N78" s="13">
        <f t="shared" si="34"/>
        <v>0.18</v>
      </c>
      <c r="O78" s="13">
        <f t="shared" si="34"/>
        <v>0.18</v>
      </c>
      <c r="P78" s="13">
        <f t="shared" si="34"/>
        <v>0.18</v>
      </c>
      <c r="Q78" s="13">
        <f t="shared" si="34"/>
        <v>0.18</v>
      </c>
      <c r="R78" s="13">
        <f t="shared" si="34"/>
        <v>0.18</v>
      </c>
      <c r="S78" s="13">
        <f t="shared" si="34"/>
        <v>0.18</v>
      </c>
      <c r="T78" s="13">
        <f t="shared" si="34"/>
        <v>0.18</v>
      </c>
      <c r="U78" s="13">
        <f t="shared" si="34"/>
        <v>0.18</v>
      </c>
      <c r="V78" s="13">
        <f t="shared" si="34"/>
        <v>0.18</v>
      </c>
      <c r="W78" s="13">
        <f t="shared" si="34"/>
        <v>0.18</v>
      </c>
      <c r="X78" s="13">
        <f t="shared" si="34"/>
        <v>0.18</v>
      </c>
      <c r="Y78" s="13">
        <f t="shared" si="34"/>
        <v>0.18</v>
      </c>
    </row>
    <row r="79" ht="15" customHeight="1">
      <c r="A79" s="12" t="s">
        <v>123</v>
      </c>
      <c r="D79" s="17">
        <v>587941</v>
      </c>
      <c r="E79" s="17">
        <v>746018</v>
      </c>
      <c r="F79" s="17">
        <v>996018</v>
      </c>
      <c r="G79" s="17">
        <f>G36*0.25</f>
        <v>895470.9375</v>
      </c>
      <c r="H79" s="17">
        <f>H36*0.245</f>
        <v>183.75</v>
      </c>
      <c r="I79" s="17">
        <f>I36*0.24</f>
        <v>216</v>
      </c>
      <c r="J79" s="17">
        <f>J36*0.235</f>
        <v>249.57</v>
      </c>
      <c r="K79" s="17">
        <f>K36*0.23</f>
        <v>161</v>
      </c>
      <c r="L79" s="17">
        <f>L36*0.225</f>
        <v>181.125</v>
      </c>
      <c r="M79" s="17">
        <f>M36*0.22</f>
        <v>201.894</v>
      </c>
      <c r="N79" s="17">
        <f>N36*0.215</f>
        <v>139.75</v>
      </c>
      <c r="O79" s="17">
        <f>O36*0.21</f>
        <v>152.88</v>
      </c>
      <c r="P79" s="17">
        <f>P36*0.20500000000000002</f>
        <v>165.6564</v>
      </c>
      <c r="Q79" s="17">
        <f>Q36*0.2</f>
        <v>120</v>
      </c>
      <c r="R79" s="17">
        <f>R36*0.195</f>
        <v>127.53</v>
      </c>
      <c r="S79" s="17">
        <f>S36*0.19</f>
        <v>134.2008</v>
      </c>
      <c r="T79" s="17">
        <f>T36*0.185</f>
        <v>101.75</v>
      </c>
      <c r="U79" s="17">
        <f>U36*0.18</f>
        <v>104.94</v>
      </c>
      <c r="V79" s="17">
        <f>V36*0.175</f>
        <v>107.12625</v>
      </c>
      <c r="W79" s="17">
        <f>W36*0.16999999999999998</f>
        <v>85</v>
      </c>
      <c r="X79" s="17">
        <f>X36*0.16499999999999998</f>
        <v>85.8</v>
      </c>
      <c r="Y79" s="17">
        <f>Y36*0.16</f>
        <v>86.528</v>
      </c>
      <c r="Z79" s="17">
        <f>Z36*0.155</f>
        <v>86.33872</v>
      </c>
    </row>
    <row r="80" ht="15" customHeight="1">
      <c r="A80" s="12" t="s">
        <v>124</v>
      </c>
      <c r="B80" s="11">
        <f t="shared" si="35" ref="B80:Y80">B65*0.065</f>
        <v>22180.21</v>
      </c>
      <c r="C80" s="11">
        <f t="shared" si="35"/>
        <v>24416.86</v>
      </c>
      <c r="D80" s="11">
        <f t="shared" si="35"/>
        <v>25489.49</v>
      </c>
      <c r="E80" s="11">
        <f t="shared" si="35"/>
        <v>28136.355</v>
      </c>
      <c r="F80" s="11">
        <f t="shared" si="35"/>
        <v>29013.465</v>
      </c>
      <c r="G80" s="11">
        <f t="shared" si="35"/>
        <v>30745.65</v>
      </c>
      <c r="H80" s="11">
        <f t="shared" si="35"/>
        <v>31062.2</v>
      </c>
      <c r="I80" s="11">
        <f t="shared" si="35"/>
        <v>33060.56</v>
      </c>
      <c r="J80" s="11">
        <f t="shared" si="35"/>
        <v>34137.09</v>
      </c>
      <c r="K80" s="11">
        <f t="shared" si="35"/>
        <v>34665.605</v>
      </c>
      <c r="L80" s="11">
        <f t="shared" si="35"/>
        <v>36280.725</v>
      </c>
      <c r="M80" s="11">
        <f t="shared" si="35"/>
        <v>39542.815</v>
      </c>
      <c r="N80" s="11">
        <f t="shared" si="35"/>
        <v>41231.905</v>
      </c>
      <c r="O80" s="11">
        <f t="shared" si="35"/>
        <v>44078.71</v>
      </c>
      <c r="P80" s="11">
        <f t="shared" si="35"/>
        <v>47158.93</v>
      </c>
      <c r="Q80" s="11">
        <f t="shared" si="35"/>
        <v>53788.41</v>
      </c>
      <c r="R80" s="11">
        <f t="shared" si="35"/>
        <v>59167.251</v>
      </c>
      <c r="S80" s="11">
        <f t="shared" si="35"/>
        <v>63900.63108</v>
      </c>
      <c r="T80" s="11">
        <f t="shared" si="35"/>
        <v>69012.6815664</v>
      </c>
      <c r="U80" s="11">
        <f t="shared" si="35"/>
        <v>74533.696091712</v>
      </c>
      <c r="V80" s="11">
        <f t="shared" si="35"/>
        <v>80496.3917790487</v>
      </c>
      <c r="W80" s="11">
        <f t="shared" si="35"/>
        <v>86936.1031213727</v>
      </c>
      <c r="X80" s="11">
        <f t="shared" si="35"/>
        <v>93890.9913710828</v>
      </c>
      <c r="Y80" s="11">
        <f t="shared" si="35"/>
        <v>101402.27068077</v>
      </c>
      <c r="Z80" s="17">
        <f>Z36*0.05</f>
        <v>27.8512</v>
      </c>
    </row>
    <row r="81" ht="15" customHeight="1">
      <c r="A81" s="12" t="s">
        <v>125</v>
      </c>
      <c r="B81" s="11">
        <f t="shared" si="36" ref="B81:Y81">B77+B80+B79</f>
        <v>59715.95</v>
      </c>
      <c r="C81" s="11">
        <f t="shared" si="36"/>
        <v>65737.7</v>
      </c>
      <c r="D81" s="11">
        <f t="shared" si="36"/>
        <v>656566.55</v>
      </c>
      <c r="E81" s="11">
        <f t="shared" si="36"/>
        <v>821769.725</v>
      </c>
      <c r="F81" s="11">
        <f t="shared" si="36"/>
        <v>1074131.175</v>
      </c>
      <c r="G81" s="11">
        <f t="shared" si="36"/>
        <v>978247.6875</v>
      </c>
      <c r="H81" s="11">
        <f t="shared" si="36"/>
        <v>83812.75</v>
      </c>
      <c r="I81" s="11">
        <f t="shared" si="36"/>
        <v>89225.2</v>
      </c>
      <c r="J81" s="11">
        <f t="shared" si="36"/>
        <v>92157.12</v>
      </c>
      <c r="K81" s="11">
        <f t="shared" si="36"/>
        <v>93491.475</v>
      </c>
      <c r="L81" s="11">
        <f t="shared" si="36"/>
        <v>97860</v>
      </c>
      <c r="M81" s="11">
        <f t="shared" si="36"/>
        <v>106663.319</v>
      </c>
      <c r="N81" s="11">
        <f t="shared" si="36"/>
        <v>111148.725</v>
      </c>
      <c r="O81" s="11">
        <f t="shared" si="36"/>
        <v>118826.33</v>
      </c>
      <c r="P81" s="11">
        <f t="shared" si="36"/>
        <v>127132.0064</v>
      </c>
      <c r="Q81" s="11">
        <f t="shared" si="36"/>
        <v>144934.95</v>
      </c>
      <c r="R81" s="11">
        <f t="shared" si="36"/>
        <v>195834.591</v>
      </c>
      <c r="S81" s="11">
        <f t="shared" si="36"/>
        <v>231159.55932</v>
      </c>
      <c r="T81" s="11">
        <f t="shared" si="36"/>
        <v>270843.8084528</v>
      </c>
      <c r="U81" s="11">
        <f t="shared" si="36"/>
        <v>315439.80808032</v>
      </c>
      <c r="V81" s="11">
        <f t="shared" si="36"/>
        <v>365436.904324144</v>
      </c>
      <c r="W81" s="11">
        <f t="shared" si="36"/>
        <v>421390.730511268</v>
      </c>
      <c r="X81" s="11">
        <f t="shared" si="36"/>
        <v>483985.524758657</v>
      </c>
      <c r="Y81" s="11">
        <f t="shared" si="36"/>
        <v>553898.929410357</v>
      </c>
      <c r="Z81" s="17">
        <f>Z79+Z80</f>
        <v>114.18992</v>
      </c>
    </row>
    <row r="82" ht="15" customHeight="1">
      <c r="A82" s="12" t="s">
        <v>126</v>
      </c>
      <c r="B82" s="11">
        <f t="shared" si="37" ref="B82:Y82">B74+B76+B77</f>
        <v>98957.86</v>
      </c>
      <c r="C82" s="11">
        <f t="shared" si="37"/>
        <v>108936.76</v>
      </c>
      <c r="D82" s="11">
        <f t="shared" si="37"/>
        <v>113722.34</v>
      </c>
      <c r="E82" s="11">
        <f t="shared" si="37"/>
        <v>125531.43</v>
      </c>
      <c r="F82" s="11">
        <f t="shared" si="37"/>
        <v>129444.69</v>
      </c>
      <c r="G82" s="11">
        <f t="shared" si="37"/>
        <v>207019.633125</v>
      </c>
      <c r="H82" s="11">
        <f t="shared" si="37"/>
        <v>138599.58125</v>
      </c>
      <c r="I82" s="11">
        <f t="shared" si="37"/>
        <v>147517.925</v>
      </c>
      <c r="J82" s="11">
        <f t="shared" si="37"/>
        <v>152323.61355</v>
      </c>
      <c r="K82" s="11">
        <f t="shared" si="37"/>
        <v>154674.67</v>
      </c>
      <c r="L82" s="11">
        <f t="shared" si="37"/>
        <v>161882.239375</v>
      </c>
      <c r="M82" s="11">
        <f t="shared" si="37"/>
        <v>176437.895635</v>
      </c>
      <c r="N82" s="11">
        <f t="shared" si="37"/>
        <v>183968.92625</v>
      </c>
      <c r="O82" s="11">
        <f t="shared" si="37"/>
        <v>196671.1632</v>
      </c>
      <c r="P82" s="11">
        <f t="shared" si="37"/>
        <v>210414.773926</v>
      </c>
      <c r="Q82" s="11">
        <f t="shared" si="37"/>
        <v>239988.81</v>
      </c>
      <c r="R82" s="11">
        <f t="shared" si="37"/>
        <v>300397.99695</v>
      </c>
      <c r="S82" s="11">
        <f t="shared" si="37"/>
        <v>344091.339792</v>
      </c>
      <c r="T82" s="11">
        <f t="shared" si="37"/>
        <v>392849.8193972</v>
      </c>
      <c r="U82" s="11">
        <f t="shared" si="37"/>
        <v>447210.892400272</v>
      </c>
      <c r="V82" s="11">
        <f t="shared" si="37"/>
        <v>507755.423915441</v>
      </c>
      <c r="W82" s="11">
        <f t="shared" si="37"/>
        <v>575122.909110619</v>
      </c>
      <c r="X82" s="11">
        <f t="shared" si="37"/>
        <v>650021.822645957</v>
      </c>
      <c r="Y82" s="11">
        <f t="shared" si="37"/>
        <v>733223.800688641</v>
      </c>
    </row>
    <row r="83" ht="15" customHeight="1">
      <c r="A83" s="12" t="s">
        <v>127</v>
      </c>
      <c r="B83" s="11">
        <f t="shared" si="38" ref="B83:Y83">MAX(0,B78*0.21)</f>
        <v>0.0378</v>
      </c>
      <c r="C83" s="11">
        <f t="shared" si="38"/>
        <v>0.0378</v>
      </c>
      <c r="D83" s="11">
        <f t="shared" si="38"/>
        <v>0.0378</v>
      </c>
      <c r="E83" s="11">
        <f t="shared" si="38"/>
        <v>0.0378</v>
      </c>
      <c r="F83" s="11">
        <f t="shared" si="38"/>
        <v>0.0378</v>
      </c>
      <c r="G83" s="11">
        <f t="shared" si="38"/>
        <v>0.0378</v>
      </c>
      <c r="H83" s="11">
        <f t="shared" si="38"/>
        <v>0.0378</v>
      </c>
      <c r="I83" s="11">
        <f t="shared" si="38"/>
        <v>0.0378</v>
      </c>
      <c r="J83" s="11">
        <f t="shared" si="38"/>
        <v>0.0378</v>
      </c>
      <c r="K83" s="11">
        <f t="shared" si="38"/>
        <v>0.0378</v>
      </c>
      <c r="L83" s="11">
        <f t="shared" si="38"/>
        <v>0.0378</v>
      </c>
      <c r="M83" s="11">
        <f t="shared" si="38"/>
        <v>0.0378</v>
      </c>
      <c r="N83" s="11">
        <f t="shared" si="38"/>
        <v>0.0378</v>
      </c>
      <c r="O83" s="11">
        <f t="shared" si="38"/>
        <v>0.0378</v>
      </c>
      <c r="P83" s="11">
        <f t="shared" si="38"/>
        <v>0.0378</v>
      </c>
      <c r="Q83" s="11">
        <f t="shared" si="38"/>
        <v>0.0378</v>
      </c>
      <c r="R83" s="11">
        <f t="shared" si="38"/>
        <v>0.0378</v>
      </c>
      <c r="S83" s="11">
        <f t="shared" si="38"/>
        <v>0.0378</v>
      </c>
      <c r="T83" s="11">
        <f t="shared" si="38"/>
        <v>0.0378</v>
      </c>
      <c r="U83" s="11">
        <f t="shared" si="38"/>
        <v>0.0378</v>
      </c>
      <c r="V83" s="11">
        <f t="shared" si="38"/>
        <v>0.0378</v>
      </c>
      <c r="W83" s="11">
        <f t="shared" si="38"/>
        <v>0.0378</v>
      </c>
      <c r="X83" s="11">
        <f t="shared" si="38"/>
        <v>0.0378</v>
      </c>
      <c r="Y83" s="11">
        <f t="shared" si="38"/>
        <v>0.0378</v>
      </c>
      <c r="Z83" s="17">
        <f>Z71-Z81</f>
        <v>6116666.877781446</v>
      </c>
    </row>
    <row r="84" ht="15" customHeight="1">
      <c r="A84" s="12" t="s">
        <v>128</v>
      </c>
      <c r="B84" s="11">
        <f t="shared" si="39" ref="B84:Y84">B78-B79</f>
        <v>0.18</v>
      </c>
      <c r="C84" s="11">
        <f t="shared" si="39"/>
        <v>0.18</v>
      </c>
      <c r="D84" s="11">
        <f t="shared" si="39"/>
        <v>-587940.82</v>
      </c>
      <c r="E84" s="11">
        <f t="shared" si="39"/>
        <v>-746017.82</v>
      </c>
      <c r="F84" s="11">
        <f t="shared" si="39"/>
        <v>-996017.82</v>
      </c>
      <c r="G84" s="11">
        <f t="shared" si="39"/>
        <v>-895470.7575</v>
      </c>
      <c r="H84" s="11">
        <f t="shared" si="39"/>
        <v>-183.57</v>
      </c>
      <c r="I84" s="11">
        <f t="shared" si="39"/>
        <v>-215.82</v>
      </c>
      <c r="J84" s="11">
        <f t="shared" si="39"/>
        <v>-249.39</v>
      </c>
      <c r="K84" s="11">
        <f t="shared" si="39"/>
        <v>-160.82</v>
      </c>
      <c r="L84" s="11">
        <f t="shared" si="39"/>
        <v>-180.945</v>
      </c>
      <c r="M84" s="11">
        <f t="shared" si="39"/>
        <v>-201.714</v>
      </c>
      <c r="N84" s="11">
        <f t="shared" si="39"/>
        <v>-139.57</v>
      </c>
      <c r="O84" s="11">
        <f t="shared" si="39"/>
        <v>-152.7</v>
      </c>
      <c r="P84" s="11">
        <f t="shared" si="39"/>
        <v>-165.4764</v>
      </c>
      <c r="Q84" s="11">
        <f t="shared" si="39"/>
        <v>-119.82</v>
      </c>
      <c r="R84" s="11">
        <f t="shared" si="39"/>
        <v>-127.35</v>
      </c>
      <c r="S84" s="11">
        <f t="shared" si="39"/>
        <v>-134.0208</v>
      </c>
      <c r="T84" s="11">
        <f t="shared" si="39"/>
        <v>-101.57</v>
      </c>
      <c r="U84" s="11">
        <f t="shared" si="39"/>
        <v>-104.76</v>
      </c>
      <c r="V84" s="11">
        <f t="shared" si="39"/>
        <v>-106.94625</v>
      </c>
      <c r="W84" s="11">
        <f t="shared" si="39"/>
        <v>-84.82</v>
      </c>
      <c r="X84" s="11">
        <f t="shared" si="39"/>
        <v>-85.62</v>
      </c>
      <c r="Y84" s="11">
        <f t="shared" si="39"/>
        <v>-86.348</v>
      </c>
    </row>
    <row r="85" ht="15" customHeight="1">
      <c r="A85" s="12" t="s">
        <v>129</v>
      </c>
      <c r="B85" s="13">
        <f t="shared" si="40" ref="B85:Y85">B80/B65</f>
        <v>0.065</v>
      </c>
      <c r="C85" s="13">
        <f t="shared" si="40"/>
        <v>0.065</v>
      </c>
      <c r="D85" s="13">
        <f t="shared" si="40"/>
        <v>0.065</v>
      </c>
      <c r="E85" s="13">
        <f t="shared" si="40"/>
        <v>0.065</v>
      </c>
      <c r="F85" s="13">
        <f t="shared" si="40"/>
        <v>0.065</v>
      </c>
      <c r="G85" s="13">
        <f t="shared" si="40"/>
        <v>0.065</v>
      </c>
      <c r="H85" s="13">
        <f t="shared" si="40"/>
        <v>0.065</v>
      </c>
      <c r="I85" s="13">
        <f t="shared" si="40"/>
        <v>0.065</v>
      </c>
      <c r="J85" s="13">
        <f t="shared" si="40"/>
        <v>0.065</v>
      </c>
      <c r="K85" s="13">
        <f t="shared" si="40"/>
        <v>0.065</v>
      </c>
      <c r="L85" s="13">
        <f t="shared" si="40"/>
        <v>0.065</v>
      </c>
      <c r="M85" s="13">
        <f t="shared" si="40"/>
        <v>0.065</v>
      </c>
      <c r="N85" s="13">
        <f t="shared" si="40"/>
        <v>0.065</v>
      </c>
      <c r="O85" s="13">
        <f t="shared" si="40"/>
        <v>0.065</v>
      </c>
      <c r="P85" s="13">
        <f t="shared" si="40"/>
        <v>0.065</v>
      </c>
      <c r="Q85" s="13">
        <f t="shared" si="40"/>
        <v>0.065</v>
      </c>
      <c r="R85" s="13">
        <f t="shared" si="40"/>
        <v>0.065</v>
      </c>
      <c r="S85" s="13">
        <f t="shared" si="40"/>
        <v>0.065</v>
      </c>
      <c r="T85" s="13">
        <f t="shared" si="40"/>
        <v>0.065</v>
      </c>
      <c r="U85" s="13">
        <f t="shared" si="40"/>
        <v>0.065</v>
      </c>
      <c r="V85" s="13">
        <f t="shared" si="40"/>
        <v>0.065</v>
      </c>
      <c r="W85" s="13">
        <f t="shared" si="40"/>
        <v>0.065</v>
      </c>
      <c r="X85" s="13">
        <f t="shared" si="40"/>
        <v>0.065</v>
      </c>
      <c r="Y85" s="13">
        <f t="shared" si="40"/>
        <v>0.065</v>
      </c>
    </row>
    <row r="88" ht="15" customHeight="1">
      <c r="B88" s="14">
        <f t="shared" si="41" ref="B88:Y88">B41/1000</f>
        <v>0</v>
      </c>
      <c r="C88" s="14">
        <f t="shared" si="41"/>
        <v>0</v>
      </c>
      <c r="D88" s="14">
        <f t="shared" si="41"/>
        <v>0</v>
      </c>
      <c r="E88" s="14">
        <f t="shared" si="41"/>
        <v>0</v>
      </c>
      <c r="F88" s="14">
        <f t="shared" si="41"/>
        <v>0</v>
      </c>
      <c r="G88" s="14">
        <f t="shared" si="41"/>
        <v>1074.565125</v>
      </c>
      <c r="H88" s="14">
        <f t="shared" si="41"/>
        <v>0.22125</v>
      </c>
      <c r="I88" s="14">
        <f t="shared" si="41"/>
        <v>0.261</v>
      </c>
      <c r="J88" s="14">
        <f t="shared" si="41"/>
        <v>0.30267</v>
      </c>
      <c r="K88" s="14">
        <f t="shared" si="41"/>
        <v>0.196</v>
      </c>
      <c r="L88" s="14">
        <f t="shared" si="41"/>
        <v>0.221375</v>
      </c>
      <c r="M88" s="14">
        <f t="shared" si="41"/>
        <v>0.247779</v>
      </c>
      <c r="N88" s="14">
        <f t="shared" si="41"/>
        <v>0.17225</v>
      </c>
      <c r="O88" s="14">
        <f t="shared" si="41"/>
        <v>0.18928</v>
      </c>
      <c r="P88" s="14">
        <f t="shared" si="41"/>
        <v>0.2060604</v>
      </c>
      <c r="Q88" s="14">
        <f t="shared" si="41"/>
        <v>0.15</v>
      </c>
      <c r="R88" s="14">
        <f t="shared" si="41"/>
        <v>0.16023</v>
      </c>
      <c r="S88" s="14">
        <f t="shared" si="41"/>
        <v>0.1695168</v>
      </c>
      <c r="T88" s="14">
        <f t="shared" si="41"/>
        <v>0.12925</v>
      </c>
      <c r="U88" s="14">
        <f t="shared" si="41"/>
        <v>0.13409</v>
      </c>
      <c r="V88" s="14">
        <f t="shared" si="41"/>
        <v>0.13773375</v>
      </c>
      <c r="W88" s="14">
        <f t="shared" si="41"/>
        <v>0.11</v>
      </c>
      <c r="X88" s="14">
        <f t="shared" si="41"/>
        <v>0.1118</v>
      </c>
      <c r="Y88" s="14">
        <f t="shared" si="41"/>
        <v>0.113568</v>
      </c>
    </row>
    <row r="89" ht="15" customHeight="1">
      <c r="A89" s="24" t="s">
        <v>130</v>
      </c>
      <c r="B89" s="25">
        <f t="shared" si="42" ref="B89:Y90">B47</f>
        <v>0.199639901067864</v>
      </c>
      <c r="C89" s="25">
        <f t="shared" si="42"/>
        <v>0.244515973650637</v>
      </c>
      <c r="D89" s="25">
        <f t="shared" si="42"/>
        <v>0.223281913023426</v>
      </c>
      <c r="E89" s="25">
        <f t="shared" si="42"/>
        <v>0.232414576263906</v>
      </c>
      <c r="F89" s="25">
        <f t="shared" si="42"/>
        <v>0.201118551852707</v>
      </c>
      <c r="G89" s="25">
        <f t="shared" si="42"/>
        <v>0.29345824898235</v>
      </c>
      <c r="H89" s="25">
        <f t="shared" si="42"/>
        <v>1439.93973634652</v>
      </c>
      <c r="I89" s="25">
        <f t="shared" si="42"/>
        <v>1299.16985951469</v>
      </c>
      <c r="J89" s="25">
        <f t="shared" si="42"/>
        <v>1300.02973535534</v>
      </c>
      <c r="K89" s="25">
        <f t="shared" si="42"/>
        <v>1966.95578231293</v>
      </c>
      <c r="L89" s="25">
        <f t="shared" si="42"/>
        <v>1882.68774703557</v>
      </c>
      <c r="M89" s="25">
        <f t="shared" si="42"/>
        <v>1838.56043759425</v>
      </c>
      <c r="N89" s="25">
        <f t="shared" si="42"/>
        <v>2892.45283018868</v>
      </c>
      <c r="O89" s="25">
        <f t="shared" si="42"/>
        <v>2703.51683572837</v>
      </c>
      <c r="P89" s="25">
        <f t="shared" si="42"/>
        <v>2565.90624237683</v>
      </c>
      <c r="Q89" s="25">
        <f t="shared" si="42"/>
        <v>4141.05555555556</v>
      </c>
      <c r="R89" s="25">
        <f t="shared" si="42"/>
        <v>0.77621</v>
      </c>
      <c r="S89" s="25">
        <f t="shared" si="42"/>
        <v>0.78792</v>
      </c>
      <c r="T89" s="25">
        <f t="shared" si="42"/>
        <v>0.903266363636364</v>
      </c>
      <c r="U89" s="25">
        <f t="shared" si="42"/>
        <v>0.79134</v>
      </c>
      <c r="V89" s="25">
        <f t="shared" si="42"/>
        <v>0.79305</v>
      </c>
      <c r="W89" s="25">
        <f t="shared" si="42"/>
        <v>0.90876</v>
      </c>
      <c r="X89" s="25">
        <f t="shared" si="42"/>
        <v>0.80647</v>
      </c>
      <c r="Y89" s="25">
        <f t="shared" si="42"/>
        <v>0.80818</v>
      </c>
      <c r="Z89" s="8"/>
    </row>
    <row r="90" ht="15" customHeight="1">
      <c r="B90" s="13">
        <f t="shared" si="42"/>
        <v>0</v>
      </c>
      <c r="C90" s="13">
        <f t="shared" si="42"/>
        <v>-0.101197745798236</v>
      </c>
      <c r="D90" s="13">
        <f t="shared" si="42"/>
        <v>0.143201434634311</v>
      </c>
      <c r="E90" s="13">
        <f t="shared" si="42"/>
        <v>0.0604702275124518</v>
      </c>
      <c r="F90" s="13">
        <f t="shared" si="42"/>
        <v>0.191630245693913</v>
      </c>
      <c r="G90" s="13">
        <f t="shared" si="42"/>
        <v>-0.273742107901392</v>
      </c>
      <c r="H90" s="13">
        <f t="shared" si="42"/>
        <v>-0.999794102753893</v>
      </c>
      <c r="I90" s="13">
        <f t="shared" si="42"/>
        <v>0.179661016949153</v>
      </c>
      <c r="J90" s="13">
        <f t="shared" si="42"/>
        <v>0.159655172413793</v>
      </c>
      <c r="K90" s="13">
        <f t="shared" si="42"/>
        <v>-0.352430039316748</v>
      </c>
      <c r="L90" s="13">
        <f t="shared" si="42"/>
        <v>0.129464285714286</v>
      </c>
      <c r="M90" s="13">
        <f t="shared" si="42"/>
        <v>0.119272727272727</v>
      </c>
      <c r="N90" s="13">
        <f t="shared" si="42"/>
        <v>-0.304824056921692</v>
      </c>
      <c r="O90" s="13">
        <f t="shared" si="42"/>
        <v>0.0988679245283019</v>
      </c>
      <c r="P90" s="13">
        <f t="shared" si="42"/>
        <v>0.0886538461538462</v>
      </c>
      <c r="Q90" s="13">
        <f t="shared" si="42"/>
        <v>-0.272058095587507</v>
      </c>
      <c r="R90" s="13">
        <f t="shared" si="42"/>
        <v>0</v>
      </c>
      <c r="S90" s="13">
        <f t="shared" si="42"/>
        <v>0</v>
      </c>
      <c r="T90" s="13">
        <f t="shared" si="42"/>
        <v>0</v>
      </c>
      <c r="U90" s="13">
        <f t="shared" si="42"/>
        <v>0</v>
      </c>
      <c r="V90" s="13">
        <f t="shared" si="42"/>
        <v>0</v>
      </c>
      <c r="W90" s="13">
        <f t="shared" si="42"/>
        <v>0</v>
      </c>
      <c r="X90" s="13">
        <f t="shared" si="42"/>
        <v>0</v>
      </c>
      <c r="Y90" s="13">
        <f t="shared" si="42"/>
        <v>0</v>
      </c>
    </row>
    <row r="91" ht="15" customHeight="1">
      <c r="A91" s="22" t="s">
        <v>131</v>
      </c>
      <c r="B91" s="14">
        <f t="shared" si="43" ref="B91:Y91">B65/1000</f>
        <v>341.234</v>
      </c>
      <c r="C91" s="14">
        <f t="shared" si="43"/>
        <v>375.644</v>
      </c>
      <c r="D91" s="14">
        <f t="shared" si="43"/>
        <v>392.146</v>
      </c>
      <c r="E91" s="14">
        <f t="shared" si="43"/>
        <v>432.867</v>
      </c>
      <c r="F91" s="14">
        <f t="shared" si="43"/>
        <v>446.361</v>
      </c>
      <c r="G91" s="14">
        <f t="shared" si="43"/>
        <v>473.01</v>
      </c>
      <c r="H91" s="14">
        <f t="shared" si="43"/>
        <v>477.88</v>
      </c>
      <c r="I91" s="14">
        <f t="shared" si="43"/>
        <v>508.624</v>
      </c>
      <c r="J91" s="14">
        <f t="shared" si="43"/>
        <v>525.186</v>
      </c>
      <c r="K91" s="14">
        <f t="shared" si="43"/>
        <v>533.317</v>
      </c>
      <c r="L91" s="14">
        <f t="shared" si="43"/>
        <v>558.165</v>
      </c>
      <c r="M91" s="14">
        <f t="shared" si="43"/>
        <v>608.351</v>
      </c>
      <c r="N91" s="14">
        <f t="shared" si="43"/>
        <v>634.337</v>
      </c>
      <c r="O91" s="14">
        <f t="shared" si="43"/>
        <v>678.134</v>
      </c>
      <c r="P91" s="14">
        <f t="shared" si="43"/>
        <v>725.522</v>
      </c>
      <c r="Q91" s="14">
        <f t="shared" si="43"/>
        <v>827.514</v>
      </c>
      <c r="R91" s="14">
        <f t="shared" si="43"/>
        <v>910.2654</v>
      </c>
      <c r="S91" s="14">
        <f t="shared" si="43"/>
        <v>983.086632</v>
      </c>
      <c r="T91" s="14">
        <f t="shared" si="43"/>
        <v>1061.73356256</v>
      </c>
      <c r="U91" s="14">
        <f t="shared" si="43"/>
        <v>1146.6722475648</v>
      </c>
      <c r="V91" s="14">
        <f t="shared" si="43"/>
        <v>1238.40602736998</v>
      </c>
      <c r="W91" s="14">
        <f t="shared" si="43"/>
        <v>1337.47850955958</v>
      </c>
      <c r="X91" s="14">
        <f t="shared" si="43"/>
        <v>1444.47679032435</v>
      </c>
      <c r="Y91" s="14">
        <f t="shared" si="43"/>
        <v>1560.0349335503</v>
      </c>
    </row>
    <row r="92" ht="15" customHeight="1">
      <c r="A92" s="12" t="s">
        <v>132</v>
      </c>
      <c r="B92" s="13">
        <f t="shared" si="44" ref="B92:Y93">B47</f>
        <v>0.199639901067864</v>
      </c>
      <c r="C92" s="13">
        <f t="shared" si="44"/>
        <v>0.244515973650637</v>
      </c>
      <c r="D92" s="13">
        <f t="shared" si="44"/>
        <v>0.223281913023426</v>
      </c>
      <c r="E92" s="13">
        <f t="shared" si="44"/>
        <v>0.232414576263906</v>
      </c>
      <c r="F92" s="13">
        <f t="shared" si="44"/>
        <v>0.201118551852707</v>
      </c>
      <c r="G92" s="13">
        <f t="shared" si="44"/>
        <v>0.29345824898235</v>
      </c>
      <c r="H92" s="13">
        <f t="shared" si="44"/>
        <v>1439.93973634652</v>
      </c>
      <c r="I92" s="13">
        <f t="shared" si="44"/>
        <v>1299.16985951469</v>
      </c>
      <c r="J92" s="13">
        <f t="shared" si="44"/>
        <v>1300.02973535534</v>
      </c>
      <c r="K92" s="13">
        <f t="shared" si="44"/>
        <v>1966.95578231293</v>
      </c>
      <c r="L92" s="13">
        <f t="shared" si="44"/>
        <v>1882.68774703557</v>
      </c>
      <c r="M92" s="13">
        <f t="shared" si="44"/>
        <v>1838.56043759425</v>
      </c>
      <c r="N92" s="13">
        <f t="shared" si="44"/>
        <v>2892.45283018868</v>
      </c>
      <c r="O92" s="13">
        <f t="shared" si="44"/>
        <v>2703.51683572837</v>
      </c>
      <c r="P92" s="13">
        <f t="shared" si="44"/>
        <v>2565.90624237683</v>
      </c>
      <c r="Q92" s="13">
        <f t="shared" si="44"/>
        <v>4141.05555555556</v>
      </c>
      <c r="R92" s="13">
        <f t="shared" si="44"/>
        <v>0.77621</v>
      </c>
      <c r="S92" s="13">
        <f t="shared" si="44"/>
        <v>0.78792</v>
      </c>
      <c r="T92" s="13">
        <f t="shared" si="44"/>
        <v>0.903266363636364</v>
      </c>
      <c r="U92" s="13">
        <f t="shared" si="44"/>
        <v>0.79134</v>
      </c>
      <c r="V92" s="13">
        <f t="shared" si="44"/>
        <v>0.79305</v>
      </c>
      <c r="W92" s="13">
        <f t="shared" si="44"/>
        <v>0.90876</v>
      </c>
      <c r="X92" s="13">
        <f t="shared" si="44"/>
        <v>0.80647</v>
      </c>
      <c r="Y92" s="13">
        <f t="shared" si="44"/>
        <v>0.80818</v>
      </c>
      <c r="Z92" s="17">
        <f>Z55</f>
        <v>197856.94012663193</v>
      </c>
    </row>
    <row r="93" ht="15" customHeight="1">
      <c r="A93" s="22" t="s">
        <v>133</v>
      </c>
      <c r="B93" s="13">
        <f t="shared" si="44"/>
        <v>0</v>
      </c>
      <c r="C93" s="13">
        <f t="shared" si="44"/>
        <v>-0.101197745798236</v>
      </c>
      <c r="D93" s="13">
        <f t="shared" si="44"/>
        <v>0.143201434634311</v>
      </c>
      <c r="E93" s="13">
        <f t="shared" si="44"/>
        <v>0.0604702275124518</v>
      </c>
      <c r="F93" s="13">
        <f t="shared" si="44"/>
        <v>0.191630245693913</v>
      </c>
      <c r="G93" s="13">
        <f t="shared" si="44"/>
        <v>-0.273742107901392</v>
      </c>
      <c r="H93" s="13">
        <f t="shared" si="44"/>
        <v>-0.999794102753893</v>
      </c>
      <c r="I93" s="13">
        <f t="shared" si="44"/>
        <v>0.179661016949153</v>
      </c>
      <c r="J93" s="13">
        <f t="shared" si="44"/>
        <v>0.159655172413793</v>
      </c>
      <c r="K93" s="13">
        <f t="shared" si="44"/>
        <v>-0.352430039316748</v>
      </c>
      <c r="L93" s="13">
        <f t="shared" si="44"/>
        <v>0.129464285714286</v>
      </c>
      <c r="M93" s="13">
        <f t="shared" si="44"/>
        <v>0.119272727272727</v>
      </c>
      <c r="N93" s="13">
        <f t="shared" si="44"/>
        <v>-0.304824056921692</v>
      </c>
      <c r="O93" s="13">
        <f t="shared" si="44"/>
        <v>0.0988679245283019</v>
      </c>
      <c r="P93" s="13">
        <f t="shared" si="44"/>
        <v>0.0886538461538462</v>
      </c>
      <c r="Q93" s="13">
        <f t="shared" si="44"/>
        <v>-0.272058095587507</v>
      </c>
      <c r="R93" s="13">
        <f t="shared" si="44"/>
        <v>0</v>
      </c>
      <c r="S93" s="13">
        <f t="shared" si="44"/>
        <v>0</v>
      </c>
      <c r="T93" s="13">
        <f t="shared" si="44"/>
        <v>0</v>
      </c>
      <c r="U93" s="13">
        <f t="shared" si="44"/>
        <v>0</v>
      </c>
      <c r="V93" s="13">
        <f t="shared" si="44"/>
        <v>0</v>
      </c>
      <c r="W93" s="13">
        <f t="shared" si="44"/>
        <v>0</v>
      </c>
      <c r="X93" s="13">
        <f t="shared" si="44"/>
        <v>0</v>
      </c>
      <c r="Y93" s="13">
        <f t="shared" si="44"/>
        <v>0</v>
      </c>
    </row>
    <row r="94" ht="15" customHeight="1">
      <c r="A94" s="12" t="s">
        <v>87</v>
      </c>
      <c r="B94" s="13">
        <f t="shared" si="22"/>
        <v>67564.332</v>
      </c>
      <c r="C94" s="13">
        <f t="shared" si="22"/>
        <v>74377.512</v>
      </c>
      <c r="D94" s="13">
        <f t="shared" si="22"/>
        <v>77644.908</v>
      </c>
      <c r="E94" s="13">
        <f t="shared" si="22"/>
        <v>85707.666</v>
      </c>
      <c r="F94" s="13">
        <f t="shared" si="22"/>
        <v>88379.478</v>
      </c>
      <c r="G94" s="13">
        <f t="shared" si="22"/>
        <v>93655.98</v>
      </c>
      <c r="H94" s="13">
        <f t="shared" si="22"/>
        <v>94620.24</v>
      </c>
      <c r="I94" s="13">
        <f t="shared" si="22"/>
        <v>100707.552</v>
      </c>
      <c r="J94" s="13">
        <f t="shared" si="22"/>
        <v>103986.828</v>
      </c>
      <c r="K94" s="13">
        <f t="shared" si="22"/>
        <v>105596.766</v>
      </c>
      <c r="L94" s="13">
        <f t="shared" si="22"/>
        <v>110516.67</v>
      </c>
      <c r="M94" s="13">
        <f t="shared" si="22"/>
        <v>120453.498</v>
      </c>
      <c r="N94" s="13">
        <f t="shared" si="22"/>
        <v>125598.726</v>
      </c>
      <c r="O94" s="13">
        <f t="shared" si="22"/>
        <v>134270.532</v>
      </c>
      <c r="P94" s="13">
        <f t="shared" si="22"/>
        <v>143653.356</v>
      </c>
      <c r="Q94" s="13">
        <f t="shared" si="22"/>
        <v>163847.772</v>
      </c>
      <c r="R94" s="13">
        <f t="shared" si="22"/>
        <v>180232.5492</v>
      </c>
      <c r="S94" s="13">
        <f t="shared" si="22"/>
        <v>194651.153136</v>
      </c>
      <c r="T94" s="13">
        <f t="shared" si="22"/>
        <v>210223.24538688</v>
      </c>
      <c r="U94" s="13">
        <f t="shared" si="22"/>
        <v>227041.10501783</v>
      </c>
      <c r="V94" s="13">
        <f t="shared" si="22"/>
        <v>245204.393419256</v>
      </c>
      <c r="W94" s="13">
        <f t="shared" si="22"/>
        <v>264820.744892797</v>
      </c>
      <c r="X94" s="13">
        <f t="shared" si="22"/>
        <v>286006.404484221</v>
      </c>
      <c r="Y94" s="13">
        <f t="shared" si="22"/>
        <v>308886.916842959</v>
      </c>
      <c r="Z94" s="17">
        <f>Z36*0.08349999999999999</f>
        <v>46.51150400462963</v>
      </c>
    </row>
    <row r="95" ht="15" customHeight="1">
      <c r="A95" s="26" t="s">
        <v>134</v>
      </c>
      <c r="B95" s="13">
        <f t="shared" si="45" ref="B95:Y95">B75</f>
        <v>71659.14</v>
      </c>
      <c r="C95" s="13">
        <f t="shared" si="45"/>
        <v>78885.24</v>
      </c>
      <c r="D95" s="13">
        <f t="shared" si="45"/>
        <v>82350.66</v>
      </c>
      <c r="E95" s="13">
        <f t="shared" si="45"/>
        <v>90902.07</v>
      </c>
      <c r="F95" s="13">
        <f t="shared" si="45"/>
        <v>93735.81</v>
      </c>
      <c r="G95" s="13">
        <f t="shared" si="45"/>
        <v>99332.1</v>
      </c>
      <c r="H95" s="13">
        <f t="shared" si="45"/>
        <v>100354.8</v>
      </c>
      <c r="I95" s="13">
        <f t="shared" si="45"/>
        <v>106811.04</v>
      </c>
      <c r="J95" s="13">
        <f t="shared" si="45"/>
        <v>110289.06</v>
      </c>
      <c r="K95" s="13">
        <f t="shared" si="45"/>
        <v>111996.57</v>
      </c>
      <c r="L95" s="13">
        <f t="shared" si="45"/>
        <v>117214.65</v>
      </c>
      <c r="M95" s="13">
        <f t="shared" si="45"/>
        <v>127753.71</v>
      </c>
      <c r="N95" s="13">
        <f t="shared" si="45"/>
        <v>133210.77</v>
      </c>
      <c r="O95" s="13">
        <f t="shared" si="45"/>
        <v>142408.14</v>
      </c>
      <c r="P95" s="13">
        <f t="shared" si="45"/>
        <v>152359.62</v>
      </c>
      <c r="Q95" s="13">
        <f t="shared" si="45"/>
        <v>173777.94</v>
      </c>
      <c r="R95" s="13">
        <f t="shared" si="45"/>
        <v>191155.734</v>
      </c>
      <c r="S95" s="13">
        <f t="shared" si="45"/>
        <v>206448.19272</v>
      </c>
      <c r="T95" s="13">
        <f t="shared" si="45"/>
        <v>222964.0481376</v>
      </c>
      <c r="U95" s="13">
        <f t="shared" si="45"/>
        <v>240801.171988608</v>
      </c>
      <c r="V95" s="13">
        <f t="shared" si="45"/>
        <v>260065.265747696</v>
      </c>
      <c r="W95" s="13">
        <f t="shared" si="45"/>
        <v>280870.487007512</v>
      </c>
      <c r="X95" s="13">
        <f t="shared" si="45"/>
        <v>303340.125968113</v>
      </c>
      <c r="Y95" s="13">
        <f t="shared" si="45"/>
        <v>327607.336045563</v>
      </c>
      <c r="Z95" s="17">
        <f>Y69*0.05</f>
        <v>78000.62235431714</v>
      </c>
    </row>
    <row r="96" ht="15" customHeight="1">
      <c r="A96" s="12" t="s">
        <v>129</v>
      </c>
      <c r="B96" s="13">
        <f t="shared" si="46" ref="B96:Y96">B81</f>
        <v>59715.95</v>
      </c>
      <c r="C96" s="13">
        <f t="shared" si="46"/>
        <v>65737.7</v>
      </c>
      <c r="D96" s="13">
        <f t="shared" si="46"/>
        <v>656566.55</v>
      </c>
      <c r="E96" s="13">
        <f t="shared" si="46"/>
        <v>821769.725</v>
      </c>
      <c r="F96" s="13">
        <f t="shared" si="46"/>
        <v>1074131.175</v>
      </c>
      <c r="G96" s="13">
        <f t="shared" si="46"/>
        <v>978247.6875</v>
      </c>
      <c r="H96" s="13">
        <f t="shared" si="46"/>
        <v>83812.75</v>
      </c>
      <c r="I96" s="13">
        <f t="shared" si="46"/>
        <v>89225.2</v>
      </c>
      <c r="J96" s="13">
        <f t="shared" si="46"/>
        <v>92157.12</v>
      </c>
      <c r="K96" s="13">
        <f t="shared" si="46"/>
        <v>93491.475</v>
      </c>
      <c r="L96" s="13">
        <f t="shared" si="46"/>
        <v>97860</v>
      </c>
      <c r="M96" s="13">
        <f t="shared" si="46"/>
        <v>106663.319</v>
      </c>
      <c r="N96" s="13">
        <f t="shared" si="46"/>
        <v>111148.725</v>
      </c>
      <c r="O96" s="13">
        <f t="shared" si="46"/>
        <v>118826.33</v>
      </c>
      <c r="P96" s="13">
        <f t="shared" si="46"/>
        <v>127132.0064</v>
      </c>
      <c r="Q96" s="13">
        <f t="shared" si="46"/>
        <v>144934.95</v>
      </c>
      <c r="R96" s="13">
        <f t="shared" si="46"/>
        <v>195834.591</v>
      </c>
      <c r="S96" s="13">
        <f t="shared" si="46"/>
        <v>231159.55932</v>
      </c>
      <c r="T96" s="13">
        <f t="shared" si="46"/>
        <v>270843.8084528</v>
      </c>
      <c r="U96" s="13">
        <f t="shared" si="46"/>
        <v>315439.80808032</v>
      </c>
      <c r="V96" s="13">
        <f t="shared" si="46"/>
        <v>365436.904324144</v>
      </c>
      <c r="W96" s="13">
        <f t="shared" si="46"/>
        <v>421390.730511268</v>
      </c>
      <c r="X96" s="13">
        <f t="shared" si="46"/>
        <v>483985.524758657</v>
      </c>
      <c r="Y96" s="13">
        <f t="shared" si="46"/>
        <v>553898.929410357</v>
      </c>
      <c r="Z96" s="17">
        <f>Z36*0.01</f>
        <v>5.57024</v>
      </c>
    </row>
    <row r="97" ht="15" customHeight="1">
      <c r="A97" s="20" t="s">
        <v>135</v>
      </c>
      <c r="G97" s="17">
        <f t="shared" si="47" ref="G97:Z97">(G66-F66)*-1</f>
        <v>-212763.89475</v>
      </c>
      <c r="H97" s="17">
        <f t="shared" si="47"/>
        <v>212720.08725</v>
      </c>
      <c r="I97" s="17">
        <f t="shared" si="47"/>
        <v>-7.8705</v>
      </c>
      <c r="J97" s="17">
        <f t="shared" si="47"/>
        <v>-8.25066</v>
      </c>
      <c r="K97" s="17">
        <f t="shared" si="47"/>
        <v>21.12066</v>
      </c>
      <c r="L97" s="17">
        <f t="shared" si="47"/>
        <v>-5.02425</v>
      </c>
      <c r="M97" s="17">
        <f t="shared" si="47"/>
        <v>-5.2279920023148145</v>
      </c>
      <c r="N97" s="17">
        <f t="shared" si="47"/>
        <v>14.954742002314815</v>
      </c>
      <c r="O97" s="17">
        <f t="shared" si="47"/>
        <v>-3.37194</v>
      </c>
      <c r="P97" s="17">
        <f t="shared" si="47"/>
        <v>-3.322519201388889</v>
      </c>
      <c r="Q97" s="17">
        <f t="shared" si="47"/>
        <v>11.09995920138889</v>
      </c>
      <c r="R97" s="17">
        <f t="shared" si="47"/>
        <v>-2.02554</v>
      </c>
      <c r="S97" s="17">
        <f t="shared" si="47"/>
        <v>-1.838786400462963</v>
      </c>
      <c r="T97" s="17">
        <f t="shared" si="47"/>
        <v>7.972826400462963</v>
      </c>
      <c r="U97" s="17">
        <f t="shared" si="47"/>
        <v>-0.95832</v>
      </c>
      <c r="V97" s="17">
        <f t="shared" si="47"/>
        <v>-0.7214625</v>
      </c>
      <c r="W97" s="17">
        <f t="shared" si="47"/>
        <v>5.4912825</v>
      </c>
      <c r="X97" s="17">
        <f t="shared" si="47"/>
        <v>-0.3564</v>
      </c>
      <c r="Y97" s="17">
        <f t="shared" si="47"/>
        <v>-0.3500640046296296</v>
      </c>
      <c r="Z97" s="17">
        <f t="shared" si="47"/>
        <v>-47.33229763888889</v>
      </c>
    </row>
    <row r="98" ht="15" customHeight="1">
      <c r="A98" s="20" t="s">
        <v>136</v>
      </c>
      <c r="G98" s="17">
        <f t="shared" si="48" ref="G98:Z98">G92+G94+G95+G96+G97</f>
        <v>958472.1662082523</v>
      </c>
      <c r="H98" s="17">
        <f t="shared" si="48"/>
        <v>492947.8169863426</v>
      </c>
      <c r="I98" s="17">
        <f t="shared" si="48"/>
        <v>298035.09135951387</v>
      </c>
      <c r="J98" s="17">
        <f t="shared" si="48"/>
        <v>307724.7870753588</v>
      </c>
      <c r="K98" s="17">
        <f t="shared" si="48"/>
        <v>313072.8874423148</v>
      </c>
      <c r="L98" s="17">
        <f t="shared" si="48"/>
        <v>327468.983497037</v>
      </c>
      <c r="M98" s="17">
        <f t="shared" si="48"/>
        <v>356703.8594455903</v>
      </c>
      <c r="N98" s="17">
        <f t="shared" si="48"/>
        <v>372865.6285721875</v>
      </c>
      <c r="O98" s="17">
        <f t="shared" si="48"/>
        <v>398205.1468957292</v>
      </c>
      <c r="P98" s="17">
        <f t="shared" si="48"/>
        <v>425707.5661231713</v>
      </c>
      <c r="Q98" s="17">
        <f t="shared" si="48"/>
        <v>486712.8175147569</v>
      </c>
      <c r="R98" s="17">
        <f t="shared" si="48"/>
        <v>567221.62487</v>
      </c>
      <c r="S98" s="17">
        <f t="shared" si="48"/>
        <v>632257.854309595</v>
      </c>
      <c r="T98" s="17">
        <f t="shared" si="48"/>
        <v>704039.9780700463</v>
      </c>
      <c r="U98" s="17">
        <f t="shared" si="48"/>
        <v>783281.9181067593</v>
      </c>
      <c r="V98" s="17">
        <f t="shared" si="48"/>
        <v>870706.6350785996</v>
      </c>
      <c r="W98" s="17">
        <f t="shared" si="48"/>
        <v>967088.3624540741</v>
      </c>
      <c r="X98" s="17">
        <f t="shared" si="48"/>
        <v>1073332.5052809953</v>
      </c>
      <c r="Y98" s="17">
        <f t="shared" si="48"/>
        <v>1190393.6404148843</v>
      </c>
      <c r="Z98" s="17">
        <f t="shared" si="48"/>
        <v>275862.31192730326</v>
      </c>
    </row>
    <row r="99" ht="15" customHeight="1">
      <c r="A99" s="20" t="s">
        <v>137</v>
      </c>
    </row>
    <row r="100" ht="15" customHeight="1">
      <c r="A100" s="20" t="s">
        <v>138</v>
      </c>
      <c r="B100" s="17">
        <v>-296608</v>
      </c>
      <c r="C100" s="17">
        <v>333851</v>
      </c>
      <c r="D100" s="17">
        <v>223737</v>
      </c>
      <c r="E100" s="17">
        <v>712183</v>
      </c>
      <c r="F100" s="17">
        <v>1153865</v>
      </c>
    </row>
    <row r="101" ht="15" customHeight="1">
      <c r="A101" s="20" t="s">
        <v>139</v>
      </c>
    </row>
    <row r="102" ht="15" customHeight="1">
      <c r="A102" s="20" t="s">
        <v>140</v>
      </c>
    </row>
    <row r="103" ht="15" customHeight="1">
      <c r="A103" s="20" t="s">
        <v>141</v>
      </c>
      <c r="B103" s="17">
        <v>-15000</v>
      </c>
      <c r="C103" s="17">
        <v>-12627</v>
      </c>
      <c r="D103" s="17">
        <v>-40027</v>
      </c>
      <c r="E103" s="17">
        <v>-15114</v>
      </c>
      <c r="F103" s="17">
        <v>-12634</v>
      </c>
      <c r="G103" s="17">
        <f t="shared" si="49" ref="G103:Z103">G36*-0.02</f>
        <v>-71637.675</v>
      </c>
      <c r="H103" s="17">
        <f t="shared" si="49"/>
        <v>-15</v>
      </c>
      <c r="I103" s="17">
        <f t="shared" si="49"/>
        <v>-18</v>
      </c>
      <c r="J103" s="17">
        <f t="shared" si="49"/>
        <v>-21.24</v>
      </c>
      <c r="K103" s="17">
        <f t="shared" si="49"/>
        <v>-14</v>
      </c>
      <c r="L103" s="17">
        <f t="shared" si="49"/>
        <v>-16.1</v>
      </c>
      <c r="M103" s="17">
        <f t="shared" si="49"/>
        <v>-18.354</v>
      </c>
      <c r="N103" s="17">
        <f t="shared" si="49"/>
        <v>-13</v>
      </c>
      <c r="O103" s="17">
        <f t="shared" si="49"/>
        <v>-14.56</v>
      </c>
      <c r="P103" s="17">
        <f t="shared" si="49"/>
        <v>-16.1616</v>
      </c>
      <c r="Q103" s="17">
        <f t="shared" si="49"/>
        <v>-12</v>
      </c>
      <c r="R103" s="17">
        <f t="shared" si="49"/>
        <v>-13.08</v>
      </c>
      <c r="S103" s="17">
        <f t="shared" si="49"/>
        <v>-14.1264</v>
      </c>
      <c r="T103" s="17">
        <f t="shared" si="49"/>
        <v>-11</v>
      </c>
      <c r="U103" s="17">
        <f t="shared" si="49"/>
        <v>-11.66</v>
      </c>
      <c r="V103" s="17">
        <f t="shared" si="49"/>
        <v>-12.243</v>
      </c>
      <c r="W103" s="17">
        <f t="shared" si="49"/>
        <v>-10</v>
      </c>
      <c r="X103" s="17">
        <f t="shared" si="49"/>
        <v>-10.4</v>
      </c>
      <c r="Y103" s="17">
        <f t="shared" si="49"/>
        <v>-10.816</v>
      </c>
      <c r="Z103" s="17">
        <f t="shared" si="49"/>
        <v>-11.14048</v>
      </c>
    </row>
    <row r="104" ht="15" customHeight="1">
      <c r="A104" s="20"/>
      <c r="G104" s="17">
        <f t="shared" si="50" ref="G104:Z104">(G65-F65)*-1</f>
        <v>-26649</v>
      </c>
      <c r="H104" s="17">
        <f t="shared" si="50"/>
        <v>-4870</v>
      </c>
      <c r="I104" s="17">
        <f t="shared" si="50"/>
        <v>-30744</v>
      </c>
      <c r="J104" s="17">
        <f t="shared" si="50"/>
        <v>-16562</v>
      </c>
      <c r="K104" s="17">
        <f t="shared" si="50"/>
        <v>-8131</v>
      </c>
      <c r="L104" s="17">
        <f t="shared" si="50"/>
        <v>-24848</v>
      </c>
      <c r="M104" s="17">
        <f t="shared" si="50"/>
        <v>-50186</v>
      </c>
      <c r="N104" s="17">
        <f t="shared" si="50"/>
        <v>-25986</v>
      </c>
      <c r="O104" s="17">
        <f t="shared" si="50"/>
        <v>-43797</v>
      </c>
      <c r="P104" s="17">
        <f t="shared" si="50"/>
        <v>-47388</v>
      </c>
      <c r="Q104" s="17">
        <f t="shared" si="50"/>
        <v>-101992</v>
      </c>
      <c r="R104" s="17">
        <f t="shared" si="50"/>
        <v>-82751.4</v>
      </c>
      <c r="S104" s="17">
        <f t="shared" si="50"/>
        <v>-72821.232</v>
      </c>
      <c r="T104" s="17">
        <f t="shared" si="50"/>
        <v>-78646.93056</v>
      </c>
      <c r="U104" s="17">
        <f t="shared" si="50"/>
        <v>-84938.68500480324</v>
      </c>
      <c r="V104" s="17">
        <f t="shared" si="50"/>
        <v>-91733.77980518519</v>
      </c>
      <c r="W104" s="17">
        <f t="shared" si="50"/>
        <v>-99072.48218959491</v>
      </c>
      <c r="X104" s="17">
        <f t="shared" si="50"/>
        <v>-106998.28076476851</v>
      </c>
      <c r="Y104" s="17">
        <f t="shared" si="50"/>
        <v>-115558.14322594907</v>
      </c>
      <c r="Z104" s="17">
        <f t="shared" si="50"/>
        <v>-78001.74667752314</v>
      </c>
    </row>
    <row r="105" ht="15" customHeight="1">
      <c r="A105" s="20" t="s">
        <v>142</v>
      </c>
      <c r="G105" s="17" t="s">
        <v>143</v>
      </c>
      <c r="H105" s="17" t="s">
        <v>143</v>
      </c>
      <c r="I105" s="17" t="s">
        <v>143</v>
      </c>
      <c r="J105" s="17" t="s">
        <v>143</v>
      </c>
      <c r="K105" s="17" t="s">
        <v>143</v>
      </c>
      <c r="L105" s="17" t="s">
        <v>143</v>
      </c>
      <c r="M105" s="17" t="s">
        <v>143</v>
      </c>
      <c r="N105" s="17" t="s">
        <v>143</v>
      </c>
      <c r="O105" s="17" t="s">
        <v>143</v>
      </c>
      <c r="P105" s="17" t="s">
        <v>143</v>
      </c>
      <c r="Q105" s="17" t="s">
        <v>143</v>
      </c>
      <c r="R105" s="17" t="s">
        <v>143</v>
      </c>
      <c r="S105" s="17" t="s">
        <v>143</v>
      </c>
      <c r="T105" s="17" t="s">
        <v>143</v>
      </c>
      <c r="U105" s="17" t="s">
        <v>143</v>
      </c>
      <c r="V105" s="17" t="s">
        <v>143</v>
      </c>
      <c r="W105" s="17" t="s">
        <v>143</v>
      </c>
      <c r="X105" s="17" t="s">
        <v>143</v>
      </c>
      <c r="Y105" s="17" t="s">
        <v>143</v>
      </c>
      <c r="Z105" s="17" t="s">
        <v>143</v>
      </c>
    </row>
    <row r="106" ht="15" customHeight="1">
      <c r="A106" s="20" t="s">
        <v>144</v>
      </c>
      <c r="B106" s="17">
        <v>-14920</v>
      </c>
      <c r="C106" s="17">
        <v>-397912</v>
      </c>
      <c r="D106" s="17">
        <v>-45427</v>
      </c>
      <c r="E106" s="17">
        <v>-2711180</v>
      </c>
      <c r="F106" s="17">
        <v>-340655</v>
      </c>
      <c r="G106" s="17">
        <f t="shared" si="51" ref="G106:Z106">G103+G104+G105</f>
        <v>-98286.675</v>
      </c>
      <c r="H106" s="17">
        <f t="shared" si="51"/>
        <v>-4885</v>
      </c>
      <c r="I106" s="17">
        <f t="shared" si="51"/>
        <v>-30762</v>
      </c>
      <c r="J106" s="17">
        <f t="shared" si="51"/>
        <v>-16583.24</v>
      </c>
      <c r="K106" s="17">
        <f t="shared" si="51"/>
        <v>-8145</v>
      </c>
      <c r="L106" s="17">
        <f t="shared" si="51"/>
        <v>-24864.1</v>
      </c>
      <c r="M106" s="17">
        <f t="shared" si="51"/>
        <v>-50204.354</v>
      </c>
      <c r="N106" s="17">
        <f t="shared" si="51"/>
        <v>-25999</v>
      </c>
      <c r="O106" s="17">
        <f t="shared" si="51"/>
        <v>-43811.56</v>
      </c>
      <c r="P106" s="17">
        <f t="shared" si="51"/>
        <v>-47404.1616</v>
      </c>
      <c r="Q106" s="17">
        <f t="shared" si="51"/>
        <v>-102004</v>
      </c>
      <c r="R106" s="17">
        <f t="shared" si="51"/>
        <v>-82764.48</v>
      </c>
      <c r="S106" s="17">
        <f t="shared" si="51"/>
        <v>-72835.3584</v>
      </c>
      <c r="T106" s="17">
        <f t="shared" si="51"/>
        <v>-78657.93056</v>
      </c>
      <c r="U106" s="17">
        <f t="shared" si="51"/>
        <v>-84950.34500480324</v>
      </c>
      <c r="V106" s="17">
        <f t="shared" si="51"/>
        <v>-91746.02280518519</v>
      </c>
      <c r="W106" s="17">
        <f t="shared" si="51"/>
        <v>-99082.48218959491</v>
      </c>
      <c r="X106" s="17">
        <f t="shared" si="51"/>
        <v>-107008.68076476852</v>
      </c>
      <c r="Y106" s="17">
        <f t="shared" si="51"/>
        <v>-115568.95922594907</v>
      </c>
      <c r="Z106" s="17">
        <f t="shared" si="51"/>
        <v>-78012.88715752315</v>
      </c>
    </row>
    <row r="107" ht="15" customHeight="1">
      <c r="A107" s="20" t="s">
        <v>145</v>
      </c>
    </row>
    <row r="108" ht="15" customHeight="1">
      <c r="A108" s="20" t="s">
        <v>146</v>
      </c>
    </row>
    <row r="109" ht="15" customHeight="1">
      <c r="A109" s="20" t="s">
        <v>147</v>
      </c>
      <c r="G109" s="17">
        <f t="shared" si="52" ref="G109:Z109">G36*0.02</f>
        <v>71637.675</v>
      </c>
      <c r="H109" s="17">
        <f t="shared" si="52"/>
        <v>15</v>
      </c>
      <c r="I109" s="17">
        <f t="shared" si="52"/>
        <v>18</v>
      </c>
      <c r="J109" s="17">
        <f t="shared" si="52"/>
        <v>21.24</v>
      </c>
      <c r="K109" s="17">
        <f t="shared" si="52"/>
        <v>14</v>
      </c>
      <c r="L109" s="17">
        <f t="shared" si="52"/>
        <v>16.1</v>
      </c>
      <c r="M109" s="17">
        <f t="shared" si="52"/>
        <v>18.354</v>
      </c>
      <c r="N109" s="17">
        <f t="shared" si="52"/>
        <v>13</v>
      </c>
      <c r="O109" s="17">
        <f t="shared" si="52"/>
        <v>14.56</v>
      </c>
      <c r="P109" s="17">
        <f t="shared" si="52"/>
        <v>16.1616</v>
      </c>
      <c r="Q109" s="17">
        <f t="shared" si="52"/>
        <v>12</v>
      </c>
      <c r="R109" s="17">
        <f t="shared" si="52"/>
        <v>13.08</v>
      </c>
      <c r="S109" s="17">
        <f t="shared" si="52"/>
        <v>14.1264</v>
      </c>
      <c r="T109" s="17">
        <f t="shared" si="52"/>
        <v>11</v>
      </c>
      <c r="U109" s="17">
        <f t="shared" si="52"/>
        <v>11.66</v>
      </c>
      <c r="V109" s="17">
        <f t="shared" si="52"/>
        <v>12.243</v>
      </c>
      <c r="W109" s="17">
        <f t="shared" si="52"/>
        <v>10</v>
      </c>
      <c r="X109" s="17">
        <f t="shared" si="52"/>
        <v>10.4</v>
      </c>
      <c r="Y109" s="17">
        <f t="shared" si="52"/>
        <v>10.816</v>
      </c>
      <c r="Z109" s="17">
        <f t="shared" si="52"/>
        <v>11.14048</v>
      </c>
    </row>
    <row r="110" ht="15" customHeight="1">
      <c r="A110" s="20" t="s">
        <v>148</v>
      </c>
      <c r="G110" s="17">
        <f t="shared" si="53" ref="G110:L110">G36*0*-1</f>
        <v>0</v>
      </c>
      <c r="H110" s="17">
        <f t="shared" si="53"/>
        <v>0</v>
      </c>
      <c r="I110" s="17">
        <f t="shared" si="53"/>
        <v>0</v>
      </c>
      <c r="J110" s="17">
        <f t="shared" si="53"/>
        <v>0</v>
      </c>
      <c r="K110" s="17">
        <f t="shared" si="53"/>
        <v>0</v>
      </c>
      <c r="L110" s="17">
        <f t="shared" si="53"/>
        <v>0</v>
      </c>
      <c r="M110" s="17">
        <f t="shared" si="54" ref="M110:Z110">M36*0.05*-1</f>
        <v>-45.885</v>
      </c>
      <c r="N110" s="17">
        <f t="shared" si="54"/>
        <v>-32.5</v>
      </c>
      <c r="O110" s="17">
        <f t="shared" si="54"/>
        <v>-36.4</v>
      </c>
      <c r="P110" s="17">
        <f t="shared" si="54"/>
        <v>-40.404</v>
      </c>
      <c r="Q110" s="17">
        <f t="shared" si="54"/>
        <v>-30</v>
      </c>
      <c r="R110" s="17">
        <f t="shared" si="54"/>
        <v>-32.7</v>
      </c>
      <c r="S110" s="17">
        <f t="shared" si="54"/>
        <v>-35.316</v>
      </c>
      <c r="T110" s="17">
        <f t="shared" si="54"/>
        <v>-27.5</v>
      </c>
      <c r="U110" s="17">
        <f t="shared" si="54"/>
        <v>-29.15</v>
      </c>
      <c r="V110" s="17">
        <f t="shared" si="54"/>
        <v>-30.6075</v>
      </c>
      <c r="W110" s="17">
        <f t="shared" si="54"/>
        <v>-25</v>
      </c>
      <c r="X110" s="17">
        <f t="shared" si="54"/>
        <v>-26</v>
      </c>
      <c r="Y110" s="17">
        <f t="shared" si="54"/>
        <v>-27.04</v>
      </c>
      <c r="Z110" s="17">
        <f t="shared" si="54"/>
        <v>-27.8512</v>
      </c>
    </row>
    <row r="111" ht="15" customHeight="1">
      <c r="A111" s="20"/>
      <c r="B111" s="17">
        <v>1036453</v>
      </c>
      <c r="C111" s="17">
        <v>306747</v>
      </c>
      <c r="D111" s="17">
        <v>85996</v>
      </c>
      <c r="E111" s="17">
        <v>218839</v>
      </c>
      <c r="F111" s="17">
        <v>463364</v>
      </c>
      <c r="G111" s="17">
        <f t="shared" si="55" ref="G111:Z111">G109+G110</f>
        <v>71637.675</v>
      </c>
      <c r="H111" s="17">
        <f t="shared" si="55"/>
        <v>15</v>
      </c>
      <c r="I111" s="17">
        <f t="shared" si="55"/>
        <v>18</v>
      </c>
      <c r="J111" s="17">
        <f t="shared" si="55"/>
        <v>21.24</v>
      </c>
      <c r="K111" s="17">
        <f t="shared" si="55"/>
        <v>14</v>
      </c>
      <c r="L111" s="17">
        <f t="shared" si="55"/>
        <v>16.1</v>
      </c>
      <c r="M111" s="17">
        <f t="shared" si="55"/>
        <v>-27.531</v>
      </c>
      <c r="N111" s="17">
        <f t="shared" si="55"/>
        <v>-19.5</v>
      </c>
      <c r="O111" s="17">
        <f t="shared" si="55"/>
        <v>-21.84</v>
      </c>
      <c r="P111" s="17">
        <f t="shared" si="55"/>
        <v>-24.2424</v>
      </c>
      <c r="Q111" s="17">
        <f t="shared" si="55"/>
        <v>-18</v>
      </c>
      <c r="R111" s="17">
        <f t="shared" si="55"/>
        <v>-19.62</v>
      </c>
      <c r="S111" s="17">
        <f t="shared" si="55"/>
        <v>-21.1896</v>
      </c>
      <c r="T111" s="17">
        <f t="shared" si="55"/>
        <v>-16.5</v>
      </c>
      <c r="U111" s="17">
        <f t="shared" si="55"/>
        <v>-17.49</v>
      </c>
      <c r="V111" s="17">
        <f t="shared" si="55"/>
        <v>-18.3645</v>
      </c>
      <c r="W111" s="17">
        <f t="shared" si="55"/>
        <v>-15</v>
      </c>
      <c r="X111" s="17">
        <f t="shared" si="55"/>
        <v>-15.6</v>
      </c>
      <c r="Y111" s="17">
        <f t="shared" si="55"/>
        <v>-16.224</v>
      </c>
      <c r="Z111" s="17">
        <f t="shared" si="55"/>
        <v>-16.71072</v>
      </c>
    </row>
    <row r="112" ht="15" customHeight="1">
      <c r="A112" s="20" t="s">
        <v>149</v>
      </c>
    </row>
    <row r="113" ht="15" customHeight="1">
      <c r="A113" s="20" t="s">
        <v>150</v>
      </c>
      <c r="B113" s="17">
        <v>726184</v>
      </c>
      <c r="C113" s="17">
        <v>238768</v>
      </c>
      <c r="D113" s="17">
        <v>260421</v>
      </c>
      <c r="E113" s="17">
        <v>-1777228</v>
      </c>
      <c r="F113" s="17">
        <v>1269829</v>
      </c>
      <c r="G113" s="17">
        <f t="shared" si="56" ref="G113:Z113">G98+G106+G111</f>
        <v>931823.1662082523</v>
      </c>
      <c r="H113" s="17">
        <f t="shared" si="56"/>
        <v>488077.8169863426</v>
      </c>
      <c r="I113" s="17">
        <f t="shared" si="56"/>
        <v>267291.09135951387</v>
      </c>
      <c r="J113" s="17">
        <f t="shared" si="56"/>
        <v>291162.7870753588</v>
      </c>
      <c r="K113" s="17">
        <f t="shared" si="56"/>
        <v>304941.8874423148</v>
      </c>
      <c r="L113" s="17">
        <f t="shared" si="56"/>
        <v>302620.983497037</v>
      </c>
      <c r="M113" s="17">
        <f t="shared" si="56"/>
        <v>306471.9744455903</v>
      </c>
      <c r="N113" s="17">
        <f t="shared" si="56"/>
        <v>346847.1285721875</v>
      </c>
      <c r="O113" s="17">
        <f t="shared" si="56"/>
        <v>354371.74689572916</v>
      </c>
      <c r="P113" s="17">
        <f t="shared" si="56"/>
        <v>378279.1621231713</v>
      </c>
      <c r="Q113" s="17">
        <f t="shared" si="56"/>
        <v>384690.8175147569</v>
      </c>
      <c r="R113" s="17">
        <f t="shared" si="56"/>
        <v>484437.52487</v>
      </c>
      <c r="S113" s="17">
        <f t="shared" si="56"/>
        <v>559401.3063095949</v>
      </c>
      <c r="T113" s="17">
        <f t="shared" si="56"/>
        <v>625365.5475100463</v>
      </c>
      <c r="U113" s="17">
        <f t="shared" si="56"/>
        <v>698314.083101956</v>
      </c>
      <c r="V113" s="17">
        <f t="shared" si="56"/>
        <v>778942.2477734144</v>
      </c>
      <c r="W113" s="17">
        <f t="shared" si="56"/>
        <v>867990.8802644792</v>
      </c>
      <c r="X113" s="17">
        <f t="shared" si="56"/>
        <v>966308.2245162153</v>
      </c>
      <c r="Y113" s="17">
        <f t="shared" si="56"/>
        <v>1074808.4571889353</v>
      </c>
      <c r="Z113" s="17">
        <f t="shared" si="56"/>
        <v>197832.7140497801</v>
      </c>
    </row>
    <row r="114" ht="15" customHeight="1">
      <c r="A114" s="20" t="s">
        <v>151</v>
      </c>
      <c r="G114" s="17">
        <f>F64</f>
        <v>2098524</v>
      </c>
      <c r="H114" s="17">
        <f t="shared" si="57" ref="H114:Z114">G115</f>
        <v>3030347.166208252</v>
      </c>
      <c r="I114" s="17">
        <f t="shared" si="57"/>
        <v>3518424.9831945947</v>
      </c>
      <c r="J114" s="17">
        <f t="shared" si="57"/>
        <v>3785716.074554109</v>
      </c>
      <c r="K114" s="17">
        <f t="shared" si="57"/>
        <v>4076878.8616294675</v>
      </c>
      <c r="L114" s="17">
        <f t="shared" si="57"/>
        <v>4381820.749071782</v>
      </c>
      <c r="M114" s="17">
        <f t="shared" si="57"/>
        <v>4684441.732568819</v>
      </c>
      <c r="N114" s="17">
        <f t="shared" si="57"/>
        <v>4990913.70701441</v>
      </c>
      <c r="O114" s="17">
        <f t="shared" si="57"/>
        <v>5337760.835586596</v>
      </c>
      <c r="P114" s="17">
        <f t="shared" si="57"/>
        <v>5692132.582482326</v>
      </c>
      <c r="Q114" s="17">
        <f t="shared" si="57"/>
        <v>6070411.74460551</v>
      </c>
      <c r="R114" s="17">
        <f t="shared" si="57"/>
        <v>6455102.562120266</v>
      </c>
      <c r="S114" s="17">
        <f t="shared" si="57"/>
        <v>6939540.086990266</v>
      </c>
      <c r="T114" s="17">
        <f t="shared" si="57"/>
        <v>7498941.393299872</v>
      </c>
      <c r="U114" s="17">
        <f t="shared" si="57"/>
        <v>8124306.940809907</v>
      </c>
      <c r="V114" s="17">
        <f t="shared" si="57"/>
        <v>8822621.023911875</v>
      </c>
      <c r="W114" s="17">
        <f t="shared" si="57"/>
        <v>9601563.27168529</v>
      </c>
      <c r="X114" s="17">
        <f t="shared" si="57"/>
        <v>10469554.151949802</v>
      </c>
      <c r="Y114" s="17">
        <f t="shared" si="57"/>
        <v>11435862.376465997</v>
      </c>
      <c r="Z114" s="17">
        <f t="shared" si="57"/>
        <v>12510670.833654895</v>
      </c>
    </row>
    <row r="115" ht="15" customHeight="1">
      <c r="A115" s="20" t="s">
        <v>152</v>
      </c>
      <c r="B115" s="17">
        <f t="shared" si="58" ref="B115:F115">B64</f>
        <v>0</v>
      </c>
      <c r="C115" s="17">
        <f t="shared" si="58"/>
        <v>0</v>
      </c>
      <c r="D115" s="17">
        <f t="shared" si="58"/>
        <v>2598540</v>
      </c>
      <c r="E115" s="17">
        <f t="shared" si="58"/>
        <v>831047</v>
      </c>
      <c r="F115" s="17">
        <f t="shared" si="58"/>
        <v>2098524</v>
      </c>
      <c r="G115" s="17">
        <f>F64+G113</f>
        <v>3030347.166208252</v>
      </c>
      <c r="H115" s="17">
        <f t="shared" si="59" ref="H115:Z115">G115+H113</f>
        <v>3518424.9831945947</v>
      </c>
      <c r="I115" s="17">
        <f t="shared" si="59"/>
        <v>3785716.074554109</v>
      </c>
      <c r="J115" s="17">
        <f t="shared" si="59"/>
        <v>4076878.8616294675</v>
      </c>
      <c r="K115" s="17">
        <f t="shared" si="59"/>
        <v>4381820.749071782</v>
      </c>
      <c r="L115" s="17">
        <f t="shared" si="59"/>
        <v>4684441.732568819</v>
      </c>
      <c r="M115" s="17">
        <f t="shared" si="59"/>
        <v>4990913.70701441</v>
      </c>
      <c r="N115" s="17">
        <f t="shared" si="59"/>
        <v>5337760.835586596</v>
      </c>
      <c r="O115" s="17">
        <f t="shared" si="59"/>
        <v>5692132.582482326</v>
      </c>
      <c r="P115" s="17">
        <f t="shared" si="59"/>
        <v>6070411.74460551</v>
      </c>
      <c r="Q115" s="17">
        <f t="shared" si="59"/>
        <v>6455102.562120266</v>
      </c>
      <c r="R115" s="17">
        <f t="shared" si="59"/>
        <v>6939540.086990266</v>
      </c>
      <c r="S115" s="17">
        <f t="shared" si="59"/>
        <v>7498941.393299872</v>
      </c>
      <c r="T115" s="17">
        <f t="shared" si="59"/>
        <v>8124306.940809907</v>
      </c>
      <c r="U115" s="17">
        <f t="shared" si="59"/>
        <v>8822621.023911875</v>
      </c>
      <c r="V115" s="17">
        <f t="shared" si="59"/>
        <v>9601563.27168529</v>
      </c>
      <c r="W115" s="17">
        <f t="shared" si="59"/>
        <v>10469554.151949802</v>
      </c>
      <c r="X115" s="17">
        <f t="shared" si="59"/>
        <v>11435862.376465997</v>
      </c>
      <c r="Y115" s="17">
        <f t="shared" si="59"/>
        <v>12510670.833654895</v>
      </c>
      <c r="Z115" s="17">
        <f t="shared" si="59"/>
        <v>12708503.5477047</v>
      </c>
    </row>
    <row r="116" ht="15" customHeight="1">
      <c r="A116" s="20" t="s">
        <v>153</v>
      </c>
    </row>
    <row r="117" ht="15" customHeight="1">
      <c r="A117" s="20" t="s">
        <v>154</v>
      </c>
    </row>
    <row r="120" ht="15" customHeight="1">
      <c r="A120" s="27" t="s">
        <v>155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2" ht="15" customHeight="1">
      <c r="A122" s="12" t="s">
        <v>131</v>
      </c>
      <c r="B122" s="28">
        <f t="shared" si="60" ref="B122:Z122">B36/1000</f>
        <v>0.85</v>
      </c>
      <c r="C122" s="28">
        <f t="shared" si="60"/>
        <v>1541.889</v>
      </c>
      <c r="D122" s="28">
        <f t="shared" si="60"/>
        <v>1905.871</v>
      </c>
      <c r="E122" s="28">
        <f t="shared" si="60"/>
        <v>0.8</v>
      </c>
      <c r="F122" s="28">
        <f t="shared" si="60"/>
        <v>2865.507</v>
      </c>
      <c r="G122" s="28">
        <f t="shared" si="60"/>
        <v>3581.88375</v>
      </c>
      <c r="H122" s="28">
        <f t="shared" si="60"/>
        <v>0.75</v>
      </c>
      <c r="I122" s="28">
        <f t="shared" si="60"/>
        <v>0.9</v>
      </c>
      <c r="J122" s="28">
        <f t="shared" si="60"/>
        <v>1.062</v>
      </c>
      <c r="K122" s="28">
        <f t="shared" si="60"/>
        <v>0.7</v>
      </c>
      <c r="L122" s="28">
        <f t="shared" si="60"/>
        <v>0.805</v>
      </c>
      <c r="M122" s="28">
        <f t="shared" si="60"/>
        <v>0.9177</v>
      </c>
      <c r="N122" s="28">
        <f t="shared" si="60"/>
        <v>0.65</v>
      </c>
      <c r="O122" s="28">
        <f t="shared" si="60"/>
        <v>0.728</v>
      </c>
      <c r="P122" s="28">
        <f t="shared" si="60"/>
        <v>0.80808</v>
      </c>
      <c r="Q122" s="28">
        <f t="shared" si="60"/>
        <v>0.6</v>
      </c>
      <c r="R122" s="28">
        <f t="shared" si="60"/>
        <v>0.654</v>
      </c>
      <c r="S122" s="28">
        <f t="shared" si="60"/>
        <v>0.70632</v>
      </c>
      <c r="T122" s="28">
        <f t="shared" si="60"/>
        <v>0.55</v>
      </c>
      <c r="U122" s="28">
        <f t="shared" si="60"/>
        <v>0.583</v>
      </c>
      <c r="V122" s="28">
        <f t="shared" si="60"/>
        <v>0.61215</v>
      </c>
      <c r="W122" s="28">
        <f t="shared" si="60"/>
        <v>0.5</v>
      </c>
      <c r="X122" s="28">
        <f t="shared" si="60"/>
        <v>0.52</v>
      </c>
      <c r="Y122" s="28">
        <f t="shared" si="60"/>
        <v>0.5408</v>
      </c>
      <c r="Z122" s="28">
        <f t="shared" si="60"/>
        <v>0.557024</v>
      </c>
    </row>
    <row r="123" ht="15" customHeight="1">
      <c r="A123" s="12" t="s">
        <v>156</v>
      </c>
      <c r="B123" t="s">
        <v>157</v>
      </c>
      <c r="C123" s="13">
        <f t="shared" si="61" ref="C123:Z123">(C36-B36)/B36</f>
        <v>1812.98705882353</v>
      </c>
      <c r="D123" s="13">
        <f t="shared" si="61"/>
        <v>0.236062388407985</v>
      </c>
      <c r="E123" s="13">
        <f t="shared" si="61"/>
        <v>-0.999580244413184</v>
      </c>
      <c r="F123" s="13">
        <f t="shared" si="61"/>
        <v>3580.88375</v>
      </c>
      <c r="G123" s="13">
        <f t="shared" si="61"/>
        <v>0.25</v>
      </c>
      <c r="H123" s="13">
        <f t="shared" si="61"/>
        <v>-0.999790612970061</v>
      </c>
      <c r="I123" s="13">
        <f t="shared" si="61"/>
        <v>0.2</v>
      </c>
      <c r="J123" s="13">
        <f t="shared" si="61"/>
        <v>0.18</v>
      </c>
      <c r="K123" s="13">
        <f t="shared" si="61"/>
        <v>-0.340866290018832</v>
      </c>
      <c r="L123" s="13">
        <f t="shared" si="61"/>
        <v>0.15</v>
      </c>
      <c r="M123" s="13">
        <f t="shared" si="61"/>
        <v>0.14</v>
      </c>
      <c r="N123" s="13">
        <f t="shared" si="61"/>
        <v>-0.2917075296938</v>
      </c>
      <c r="O123" s="13">
        <f t="shared" si="61"/>
        <v>0.12</v>
      </c>
      <c r="P123" s="13">
        <f t="shared" si="61"/>
        <v>0.11</v>
      </c>
      <c r="Q123" s="13">
        <f t="shared" si="61"/>
        <v>-0.257499257499258</v>
      </c>
      <c r="R123" s="13">
        <f t="shared" si="61"/>
        <v>0.09</v>
      </c>
      <c r="S123" s="13">
        <f t="shared" si="61"/>
        <v>0.08</v>
      </c>
      <c r="T123" s="13">
        <f t="shared" si="61"/>
        <v>-0.221316117340582</v>
      </c>
      <c r="U123" s="13">
        <f t="shared" si="61"/>
        <v>0.06</v>
      </c>
      <c r="V123" s="13">
        <f t="shared" si="61"/>
        <v>0.05</v>
      </c>
      <c r="W123" s="13">
        <f t="shared" si="61"/>
        <v>-0.183206730376542</v>
      </c>
      <c r="X123" s="13">
        <f t="shared" si="61"/>
        <v>0.04</v>
      </c>
      <c r="Y123" s="13">
        <f t="shared" si="61"/>
        <v>0.04</v>
      </c>
      <c r="Z123" s="13">
        <f t="shared" si="61"/>
        <v>0.03</v>
      </c>
    </row>
    <row r="124" ht="15" customHeight="1">
      <c r="A124" s="12" t="s">
        <v>87</v>
      </c>
      <c r="B124" s="13">
        <f t="shared" si="62" ref="B124:Z124">B39</f>
        <v>0.978823529411765</v>
      </c>
      <c r="C124" s="13">
        <f t="shared" si="62"/>
        <v>0.779877799244952</v>
      </c>
      <c r="D124" s="13">
        <f t="shared" si="62"/>
        <v>0.785636593452547</v>
      </c>
      <c r="E124" s="13">
        <f t="shared" si="62"/>
        <v>0.98</v>
      </c>
      <c r="F124" s="13">
        <f t="shared" si="62"/>
        <v>0.802481724874516</v>
      </c>
      <c r="G124" s="13">
        <f t="shared" si="62"/>
        <v>0</v>
      </c>
      <c r="H124" s="13">
        <f t="shared" si="62"/>
        <v>0</v>
      </c>
      <c r="I124" s="13">
        <f t="shared" si="62"/>
        <v>0</v>
      </c>
      <c r="J124" s="13">
        <f t="shared" si="62"/>
        <v>0</v>
      </c>
      <c r="K124" s="13">
        <f t="shared" si="62"/>
        <v>0</v>
      </c>
      <c r="L124" s="13">
        <f t="shared" si="62"/>
        <v>0</v>
      </c>
      <c r="M124" s="13">
        <f t="shared" si="62"/>
        <v>0</v>
      </c>
      <c r="N124" s="13">
        <f t="shared" si="62"/>
        <v>0</v>
      </c>
      <c r="O124" s="13">
        <f t="shared" si="62"/>
        <v>0</v>
      </c>
      <c r="P124" s="13">
        <f t="shared" si="62"/>
        <v>0</v>
      </c>
      <c r="Q124" s="13">
        <f t="shared" si="62"/>
        <v>0</v>
      </c>
      <c r="R124" s="13">
        <f t="shared" si="62"/>
        <v>0</v>
      </c>
      <c r="S124" s="13">
        <f t="shared" si="62"/>
        <v>0</v>
      </c>
      <c r="T124" s="13">
        <f t="shared" si="62"/>
        <v>0</v>
      </c>
      <c r="U124" s="13">
        <f t="shared" si="62"/>
        <v>0</v>
      </c>
      <c r="V124" s="13">
        <f t="shared" si="62"/>
        <v>0</v>
      </c>
      <c r="W124" s="13">
        <f t="shared" si="62"/>
        <v>0</v>
      </c>
      <c r="X124" s="13">
        <f t="shared" si="62"/>
        <v>0</v>
      </c>
      <c r="Y124" s="13">
        <f t="shared" si="62"/>
        <v>0</v>
      </c>
      <c r="Z124" s="13">
        <f t="shared" si="62"/>
        <v>0</v>
      </c>
    </row>
    <row r="125" ht="15" customHeight="1">
      <c r="A125" s="12" t="s">
        <v>122</v>
      </c>
      <c r="B125" s="13">
        <f t="shared" si="63" ref="B125:Z125">B47</f>
        <v>0.199639901067864</v>
      </c>
      <c r="C125" s="13">
        <f t="shared" si="63"/>
        <v>0.244515973650637</v>
      </c>
      <c r="D125" s="13">
        <f t="shared" si="63"/>
        <v>0.223281913023426</v>
      </c>
      <c r="E125" s="13">
        <f t="shared" si="63"/>
        <v>0.232414576263906</v>
      </c>
      <c r="F125" s="13">
        <f t="shared" si="63"/>
        <v>0.201118551852707</v>
      </c>
      <c r="G125" s="13">
        <f t="shared" si="63"/>
        <v>0.29345824898235</v>
      </c>
      <c r="H125" s="13">
        <f t="shared" si="63"/>
        <v>1439.93973634652</v>
      </c>
      <c r="I125" s="13">
        <f t="shared" si="63"/>
        <v>1299.16985951469</v>
      </c>
      <c r="J125" s="13">
        <f t="shared" si="63"/>
        <v>1300.02973535534</v>
      </c>
      <c r="K125" s="13">
        <f t="shared" si="63"/>
        <v>1966.95578231293</v>
      </c>
      <c r="L125" s="13">
        <f t="shared" si="63"/>
        <v>1882.68774703557</v>
      </c>
      <c r="M125" s="13">
        <f t="shared" si="63"/>
        <v>1838.56043759425</v>
      </c>
      <c r="N125" s="13">
        <f t="shared" si="63"/>
        <v>2892.45283018868</v>
      </c>
      <c r="O125" s="13">
        <f t="shared" si="63"/>
        <v>2703.51683572837</v>
      </c>
      <c r="P125" s="13">
        <f t="shared" si="63"/>
        <v>2565.90624237683</v>
      </c>
      <c r="Q125" s="13">
        <f t="shared" si="63"/>
        <v>4141.05555555556</v>
      </c>
      <c r="R125" s="13">
        <f t="shared" si="63"/>
        <v>0.77621</v>
      </c>
      <c r="S125" s="13">
        <f t="shared" si="63"/>
        <v>0.78792</v>
      </c>
      <c r="T125" s="13">
        <f t="shared" si="63"/>
        <v>0.903266363636364</v>
      </c>
      <c r="U125" s="13">
        <f t="shared" si="63"/>
        <v>0.79134</v>
      </c>
      <c r="V125" s="13">
        <f t="shared" si="63"/>
        <v>0.79305</v>
      </c>
      <c r="W125" s="13">
        <f t="shared" si="63"/>
        <v>0.90876</v>
      </c>
      <c r="X125" s="13">
        <f t="shared" si="63"/>
        <v>0.80647</v>
      </c>
      <c r="Y125" s="13">
        <f t="shared" si="63"/>
        <v>0.80818</v>
      </c>
      <c r="Z125" s="13">
        <f t="shared" si="63"/>
        <v>0.428</v>
      </c>
    </row>
    <row r="126" ht="15" customHeight="1">
      <c r="A126" s="12" t="s">
        <v>129</v>
      </c>
      <c r="B126" s="13">
        <f t="shared" si="64" ref="B126:Z126">B57</f>
        <v>-1372.22470588235</v>
      </c>
      <c r="C126" s="13">
        <f t="shared" si="64"/>
        <v>-0.337494462960693</v>
      </c>
      <c r="D126" s="13">
        <f t="shared" si="64"/>
        <v>-0.194710974667226</v>
      </c>
      <c r="E126" s="13">
        <f t="shared" si="64"/>
        <v>271.71875</v>
      </c>
      <c r="F126" s="13">
        <f t="shared" si="64"/>
        <v>0.163293267125154</v>
      </c>
      <c r="G126" s="13">
        <f t="shared" si="64"/>
        <v>0.00995992183142948</v>
      </c>
      <c r="H126" s="13">
        <f t="shared" si="64"/>
        <v>68.625092535362</v>
      </c>
      <c r="I126" s="13">
        <f t="shared" si="64"/>
        <v>64.2819982821938</v>
      </c>
      <c r="J126" s="13">
        <f t="shared" si="64"/>
        <v>57.5065349391907</v>
      </c>
      <c r="K126" s="13">
        <f t="shared" si="64"/>
        <v>94.9192109477221</v>
      </c>
      <c r="L126" s="13">
        <f t="shared" si="64"/>
        <v>88.2797873513415</v>
      </c>
      <c r="M126" s="13">
        <f t="shared" si="64"/>
        <v>82.5917161165275</v>
      </c>
      <c r="N126" s="13">
        <f t="shared" si="64"/>
        <v>125.261885297832</v>
      </c>
      <c r="O126" s="13">
        <f t="shared" si="64"/>
        <v>119.392951034168</v>
      </c>
      <c r="P126" s="13">
        <f t="shared" si="64"/>
        <v>114.523940326202</v>
      </c>
      <c r="Q126" s="13">
        <f t="shared" si="64"/>
        <v>166.508009459796</v>
      </c>
      <c r="R126" s="13">
        <f t="shared" si="64"/>
        <v>156.562166880887</v>
      </c>
      <c r="S126" s="13">
        <f t="shared" si="64"/>
        <v>155.856250794855</v>
      </c>
      <c r="T126" s="13">
        <f t="shared" si="64"/>
        <v>216.137714998433</v>
      </c>
      <c r="U126" s="13">
        <f t="shared" si="64"/>
        <v>220.803631438415</v>
      </c>
      <c r="V126" s="13">
        <f t="shared" si="64"/>
        <v>228.34424563952</v>
      </c>
      <c r="W126" s="13">
        <f t="shared" si="64"/>
        <v>304.127319785256</v>
      </c>
      <c r="X126" s="13">
        <f t="shared" si="64"/>
        <v>318.750487455398</v>
      </c>
      <c r="Y126" s="13">
        <f t="shared" si="64"/>
        <v>334.748346719532</v>
      </c>
      <c r="Z126" s="13">
        <f t="shared" si="64"/>
        <v>355.203618024766</v>
      </c>
    </row>
    <row r="127" ht="15" customHeight="1">
      <c r="A127" s="12" t="s">
        <v>158</v>
      </c>
      <c r="B127" s="13">
        <f t="shared" si="65" ref="B127:Z127">B55/B83</f>
        <v>-30856904.7619048</v>
      </c>
      <c r="C127" s="13">
        <f t="shared" si="65"/>
        <v>-13766640.2116402</v>
      </c>
      <c r="D127" s="13">
        <f t="shared" si="65"/>
        <v>-9817301.58730159</v>
      </c>
      <c r="E127" s="13">
        <f t="shared" si="65"/>
        <v>5750661.37566138</v>
      </c>
      <c r="F127" s="13">
        <f t="shared" si="65"/>
        <v>12378783.0687831</v>
      </c>
      <c r="G127" s="13">
        <f t="shared" si="65"/>
        <v>943790.533313955</v>
      </c>
      <c r="H127" s="13">
        <f t="shared" si="65"/>
        <v>1361608.97887623</v>
      </c>
      <c r="I127" s="13">
        <f t="shared" si="65"/>
        <v>1530523.76862366</v>
      </c>
      <c r="J127" s="13">
        <f t="shared" si="65"/>
        <v>1615659.79114869</v>
      </c>
      <c r="K127" s="13">
        <f t="shared" si="65"/>
        <v>1757763.16569856</v>
      </c>
      <c r="L127" s="13">
        <f t="shared" si="65"/>
        <v>1880032.5084082</v>
      </c>
      <c r="M127" s="13">
        <f t="shared" si="65"/>
        <v>2005143.33016236</v>
      </c>
      <c r="N127" s="13">
        <f t="shared" si="65"/>
        <v>2153974.2180844</v>
      </c>
      <c r="O127" s="13">
        <f t="shared" si="65"/>
        <v>2299419.79769508</v>
      </c>
      <c r="P127" s="13">
        <f t="shared" si="65"/>
        <v>2448267.34652902</v>
      </c>
      <c r="Q127" s="13">
        <f t="shared" si="65"/>
        <v>2642984.27713962</v>
      </c>
      <c r="R127" s="13">
        <f t="shared" si="65"/>
        <v>2708773.99841534</v>
      </c>
      <c r="S127" s="13">
        <f t="shared" si="65"/>
        <v>2912285.37199529</v>
      </c>
      <c r="T127" s="13">
        <f t="shared" si="65"/>
        <v>3144860.93251688</v>
      </c>
      <c r="U127" s="13">
        <f t="shared" si="65"/>
        <v>3405516.32615333</v>
      </c>
      <c r="V127" s="13">
        <f t="shared" si="65"/>
        <v>3697908.20021778</v>
      </c>
      <c r="W127" s="13">
        <f t="shared" si="65"/>
        <v>4022848.14530762</v>
      </c>
      <c r="X127" s="13">
        <f t="shared" si="65"/>
        <v>4384927.34065627</v>
      </c>
      <c r="Y127" s="13">
        <f t="shared" si="65"/>
        <v>4789203.85994505</v>
      </c>
      <c r="Z127" s="13">
        <f t="shared" si="65"/>
        <v>0.0323471825554755</v>
      </c>
    </row>
    <row r="128" ht="15" customHeight="1">
      <c r="A128" s="12" t="s">
        <v>159</v>
      </c>
      <c r="B128" s="28">
        <f t="shared" si="66" ref="B128:Z128">(B98+B103)/1000</f>
        <v>-15</v>
      </c>
      <c r="C128" s="28">
        <f t="shared" si="66"/>
        <v>-12.627</v>
      </c>
      <c r="D128" s="28">
        <f t="shared" si="66"/>
        <v>-40.027</v>
      </c>
      <c r="E128" s="28">
        <f t="shared" si="66"/>
        <v>-15.114</v>
      </c>
      <c r="F128" s="28">
        <f t="shared" si="66"/>
        <v>-12.634</v>
      </c>
      <c r="G128" s="28">
        <f t="shared" si="66"/>
        <v>886.834491208249</v>
      </c>
      <c r="H128" s="28">
        <f t="shared" si="66"/>
        <v>492.932816986347</v>
      </c>
      <c r="I128" s="28">
        <f t="shared" si="66"/>
        <v>298.017091359515</v>
      </c>
      <c r="J128" s="28">
        <f t="shared" si="66"/>
        <v>307.703547075355</v>
      </c>
      <c r="K128" s="28">
        <f t="shared" si="66"/>
        <v>313.058887442313</v>
      </c>
      <c r="L128" s="28">
        <f t="shared" si="66"/>
        <v>327.452883497036</v>
      </c>
      <c r="M128" s="28">
        <f t="shared" si="66"/>
        <v>356.685505445594</v>
      </c>
      <c r="N128" s="28">
        <f t="shared" si="66"/>
        <v>372.852628572189</v>
      </c>
      <c r="O128" s="28">
        <f t="shared" si="66"/>
        <v>398.190586895728</v>
      </c>
      <c r="P128" s="28">
        <f t="shared" si="66"/>
        <v>425.691404523177</v>
      </c>
      <c r="Q128" s="28">
        <f t="shared" si="66"/>
        <v>486.700817514756</v>
      </c>
      <c r="R128" s="28">
        <f t="shared" si="66"/>
        <v>567.20854487</v>
      </c>
      <c r="S128" s="28">
        <f t="shared" si="66"/>
        <v>632.2437279096</v>
      </c>
      <c r="T128" s="28">
        <f t="shared" si="66"/>
        <v>704.028978070044</v>
      </c>
      <c r="U128" s="28">
        <f t="shared" si="66"/>
        <v>783.270258106758</v>
      </c>
      <c r="V128" s="28">
        <f t="shared" si="66"/>
        <v>870.694392078596</v>
      </c>
      <c r="W128" s="28">
        <f t="shared" si="66"/>
        <v>967.078362454077</v>
      </c>
      <c r="X128" s="28">
        <f t="shared" si="66"/>
        <v>1073.32210528099</v>
      </c>
      <c r="Y128" s="28">
        <f t="shared" si="66"/>
        <v>1190.38282441488</v>
      </c>
      <c r="Z128" s="28">
        <f t="shared" si="66"/>
        <v>275.851171447298</v>
      </c>
    </row>
    <row r="129" ht="15" customHeight="1">
      <c r="A129" s="12" t="s">
        <v>160</v>
      </c>
      <c r="B129" s="28">
        <f t="shared" si="67" ref="B129:Z129">(B64+B65)/1000</f>
        <v>341.234</v>
      </c>
      <c r="C129" s="28">
        <f t="shared" si="67"/>
        <v>375.644</v>
      </c>
      <c r="D129" s="28">
        <f t="shared" si="67"/>
        <v>2990.686</v>
      </c>
      <c r="E129" s="28">
        <f t="shared" si="67"/>
        <v>1263.914</v>
      </c>
      <c r="F129" s="28">
        <f t="shared" si="67"/>
        <v>2544.885</v>
      </c>
      <c r="G129" s="28">
        <f t="shared" si="67"/>
        <v>3467.0049375</v>
      </c>
      <c r="H129" s="28">
        <f t="shared" si="67"/>
        <v>3472.0249375</v>
      </c>
      <c r="I129" s="28">
        <f t="shared" si="67"/>
        <v>3502.9489375</v>
      </c>
      <c r="J129" s="28">
        <f t="shared" si="67"/>
        <v>3519.7233375</v>
      </c>
      <c r="K129" s="28">
        <f t="shared" si="67"/>
        <v>3527.9943375</v>
      </c>
      <c r="L129" s="28">
        <f t="shared" si="67"/>
        <v>3553.0033375</v>
      </c>
      <c r="M129" s="28">
        <f t="shared" si="67"/>
        <v>3603.3728775</v>
      </c>
      <c r="N129" s="28">
        <f t="shared" si="67"/>
        <v>3629.4888775</v>
      </c>
      <c r="O129" s="28">
        <f t="shared" si="67"/>
        <v>3673.4314775</v>
      </c>
      <c r="P129" s="28">
        <f t="shared" si="67"/>
        <v>3720.9810935</v>
      </c>
      <c r="Q129" s="28">
        <f t="shared" si="67"/>
        <v>3823.0930935</v>
      </c>
      <c r="R129" s="28">
        <f t="shared" si="67"/>
        <v>3905.9752935</v>
      </c>
      <c r="S129" s="28">
        <f t="shared" si="67"/>
        <v>3978.9377895</v>
      </c>
      <c r="T129" s="28">
        <f t="shared" si="67"/>
        <v>4057.69472006</v>
      </c>
      <c r="U129" s="28">
        <f t="shared" si="67"/>
        <v>4142.7500050648</v>
      </c>
      <c r="V129" s="28">
        <f t="shared" si="67"/>
        <v>4234.60621486998</v>
      </c>
      <c r="W129" s="28">
        <f t="shared" si="67"/>
        <v>4333.77869705958</v>
      </c>
      <c r="X129" s="28">
        <f t="shared" si="67"/>
        <v>4440.88097782435</v>
      </c>
      <c r="Y129" s="28">
        <f t="shared" si="67"/>
        <v>4556.5472810503</v>
      </c>
      <c r="Z129" s="28">
        <f t="shared" si="67"/>
        <v>4634.66043252782</v>
      </c>
    </row>
    <row r="132" ht="15" customHeight="1">
      <c r="A132" s="29" t="s">
        <v>161</v>
      </c>
    </row>
    <row r="133" ht="15" customHeight="1">
      <c r="A133" t="s">
        <v>162</v>
      </c>
      <c r="B133" s="28">
        <f t="shared" si="68" ref="B133:Z133">B71-B81-B83</f>
        <v>-59715.9878</v>
      </c>
      <c r="C133" s="28">
        <f t="shared" si="68"/>
        <v>-65737.7378</v>
      </c>
      <c r="D133" s="28">
        <f t="shared" si="68"/>
        <v>-656566.5878</v>
      </c>
      <c r="E133" s="28">
        <f t="shared" si="68"/>
        <v>-821769.7628</v>
      </c>
      <c r="F133" s="28">
        <f t="shared" si="68"/>
        <v>-1074131.2128</v>
      </c>
      <c r="G133" s="28">
        <f t="shared" si="68"/>
        <v>-784826.0028</v>
      </c>
      <c r="H133" s="28">
        <f t="shared" si="68"/>
        <v>-83772.9628</v>
      </c>
      <c r="I133" s="28">
        <f t="shared" si="68"/>
        <v>-89178.2578</v>
      </c>
      <c r="J133" s="28">
        <f t="shared" si="68"/>
        <v>-92102.6772</v>
      </c>
      <c r="K133" s="28">
        <f t="shared" si="68"/>
        <v>-93456.2328</v>
      </c>
      <c r="L133" s="28">
        <f t="shared" si="68"/>
        <v>-97820.1903</v>
      </c>
      <c r="M133" s="28">
        <f t="shared" si="68"/>
        <v>-106618.75658</v>
      </c>
      <c r="N133" s="28">
        <f t="shared" si="68"/>
        <v>-111117.7578</v>
      </c>
      <c r="O133" s="28">
        <f t="shared" si="68"/>
        <v>-118792.2974</v>
      </c>
      <c r="P133" s="28">
        <f t="shared" si="68"/>
        <v>-127094.953328</v>
      </c>
      <c r="Q133" s="28">
        <f t="shared" si="68"/>
        <v>-144907.9878</v>
      </c>
      <c r="R133" s="28">
        <f t="shared" si="68"/>
        <v>-195805.7874</v>
      </c>
      <c r="S133" s="28">
        <f t="shared" si="68"/>
        <v>-231129.084096</v>
      </c>
      <c r="T133" s="28">
        <f t="shared" si="68"/>
        <v>-270820.5812528</v>
      </c>
      <c r="U133" s="28">
        <f t="shared" si="68"/>
        <v>-315415.70968032</v>
      </c>
      <c r="V133" s="28">
        <f t="shared" si="68"/>
        <v>-365412.150049144</v>
      </c>
      <c r="W133" s="28">
        <f t="shared" si="68"/>
        <v>-421370.968311268</v>
      </c>
      <c r="X133" s="28">
        <f t="shared" si="68"/>
        <v>-483965.438558657</v>
      </c>
      <c r="Y133" s="28">
        <f t="shared" si="68"/>
        <v>-553878.524970357</v>
      </c>
      <c r="Z133" s="28">
        <f t="shared" si="68"/>
        <v>0</v>
      </c>
    </row>
    <row r="134" ht="15" customHeight="1">
      <c r="G134" t="str">
        <f t="shared" si="69" ref="G134:Z134">IF(ABS(G133)&gt;1000,"CHECK BALANCE","OK")</f>
        <v>CHECK BALANCE</v>
      </c>
      <c r="H134" t="str">
        <f t="shared" si="69"/>
        <v>CHECK BALANCE</v>
      </c>
      <c r="I134" t="str">
        <f t="shared" si="69"/>
        <v>CHECK BALANCE</v>
      </c>
      <c r="J134" t="str">
        <f t="shared" si="69"/>
        <v>CHECK BALANCE</v>
      </c>
      <c r="K134" t="str">
        <f t="shared" si="69"/>
        <v>CHECK BALANCE</v>
      </c>
      <c r="L134" t="str">
        <f t="shared" si="69"/>
        <v>CHECK BALANCE</v>
      </c>
      <c r="M134" t="str">
        <f t="shared" si="69"/>
        <v>CHECK BALANCE</v>
      </c>
      <c r="N134" t="str">
        <f t="shared" si="69"/>
        <v>CHECK BALANCE</v>
      </c>
      <c r="O134" t="str">
        <f t="shared" si="69"/>
        <v>CHECK BALANCE</v>
      </c>
      <c r="P134" t="str">
        <f t="shared" si="69"/>
        <v>CHECK BALANCE</v>
      </c>
      <c r="Q134" t="str">
        <f t="shared" si="69"/>
        <v>CHECK BALANCE</v>
      </c>
      <c r="R134" t="str">
        <f t="shared" si="69"/>
        <v>CHECK BALANCE</v>
      </c>
      <c r="S134" t="str">
        <f t="shared" si="69"/>
        <v>CHECK BALANCE</v>
      </c>
      <c r="T134" t="str">
        <f t="shared" si="69"/>
        <v>CHECK BALANCE</v>
      </c>
      <c r="U134" t="str">
        <f t="shared" si="69"/>
        <v>CHECK BALANCE</v>
      </c>
      <c r="V134" t="str">
        <f t="shared" si="69"/>
        <v>CHECK BALANCE</v>
      </c>
      <c r="W134" t="str">
        <f t="shared" si="69"/>
        <v>CHECK BALANCE</v>
      </c>
      <c r="X134" t="str">
        <f t="shared" si="69"/>
        <v>CHECK BALANCE</v>
      </c>
      <c r="Y134" t="str">
        <f t="shared" si="69"/>
        <v>CHECK BALANCE</v>
      </c>
      <c r="Z134" t="str">
        <f t="shared" si="69"/>
        <v>OK</v>
      </c>
    </row>
    <row r="136" ht="15" customHeight="1">
      <c r="A136" s="19" t="s">
        <v>165</v>
      </c>
    </row>
    <row r="138" ht="15" customHeight="1">
      <c r="A138" t="s">
        <v>166</v>
      </c>
      <c r="B138" s="30">
        <v>1</v>
      </c>
      <c r="C138" t="s">
        <v>167</v>
      </c>
    </row>
    <row r="139" ht="15" customHeight="1">
      <c r="A139" t="s">
        <v>168</v>
      </c>
      <c r="B139" s="30">
        <v>1</v>
      </c>
      <c r="C139" t="s">
        <v>169</v>
      </c>
    </row>
    <row r="140" ht="15" customHeight="1">
      <c r="A140" t="s">
        <v>170</v>
      </c>
      <c r="B140" s="30">
        <v>1</v>
      </c>
      <c r="C140" t="s">
        <v>171</v>
      </c>
    </row>
    <row r="141" ht="15" customHeight="1">
      <c r="A141" t="s">
        <v>172</v>
      </c>
      <c r="B141" s="30">
        <v>1</v>
      </c>
      <c r="C141" t="s">
        <v>173</v>
      </c>
    </row>
    <row r="144" ht="15" customHeight="1">
      <c r="A144" s="31" t="s">
        <v>174</v>
      </c>
    </row>
    <row r="146" ht="15" customHeight="1">
      <c r="A146" s="20" t="s">
        <v>175</v>
      </c>
    </row>
    <row r="147" ht="15" customHeight="1">
      <c r="A147" s="20" t="s">
        <v>176</v>
      </c>
    </row>
    <row r="148" ht="15" customHeight="1">
      <c r="A148" s="20" t="s">
        <v>177</v>
      </c>
    </row>
    <row r="149" ht="15" customHeight="1">
      <c r="A149" s="20" t="s">
        <v>178</v>
      </c>
    </row>
    <row r="150" ht="15" customHeight="1">
      <c r="A150" s="20" t="s">
        <v>179</v>
      </c>
    </row>
    <row r="151" ht="15" customHeight="1">
      <c r="A151" s="20" t="s">
        <v>180</v>
      </c>
    </row>
    <row r="152" ht="15" customHeight="1">
      <c r="A152" s="20" t="s">
        <v>181</v>
      </c>
    </row>
    <row r="153" ht="15" customHeight="1">
      <c r="A153" s="20" t="s">
        <v>182</v>
      </c>
    </row>
    <row r="154" ht="15" customHeight="1">
      <c r="A154" s="20" t="s">
        <v>183</v>
      </c>
    </row>
  </sheetData>
  <mergeCells>
    <mergeCell ref="A3:Y3"/>
    <mergeCell ref="A9:Y9"/>
    <mergeCell ref="A34:Y34"/>
    <mergeCell ref="A60:Y60"/>
    <mergeCell ref="A89:Y89"/>
    <mergeCell ref="A120:Y120"/>
    <mergeCell ref="A1:Y1"/>
    <mergeCell ref="A2:Y2"/>
    <mergeCell ref="A8:Y8"/>
    <mergeCell ref="A41:Y41"/>
    <mergeCell ref="A65:Y65"/>
  </mergeCells>
  <printOptions/>
  <pageMargins left="0.7" right="0.7" top="0.75" bottom="0.75" header="0.3" footer="0.3"/>
  <pageSetup paperSize="1" pageOrder="downThenOver" orientation="portrait"/>
  <headerFooter>
    <oddHeader>&amp;L&amp;C&amp;R</oddHeader>
    <oddFooter>&amp;L&amp;C&amp;R</oddFooter>
  </headerFooter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Company>Shortcut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2025-08-06T15:54:57Z</dcterms:created>
  <dc:creator>Shortcut</dc:creator>
  <cp:lastModifiedBy>Shortcut</cp:lastModifiedBy>
</cp:coreProperties>
</file>