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2420786-6B93-4E71-AF5F-D3A76D28AE22}" xr6:coauthVersionLast="47" xr6:coauthVersionMax="47" xr10:uidLastSave="{00000000-0000-0000-0000-000000000000}"/>
  <bookViews>
    <workbookView xWindow="41350" yWindow="3350" windowWidth="26400" windowHeight="18030" xr2:uid="{449F5976-BBB2-4D6E-9B28-E8B6EC62A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4" i="2" l="1"/>
  <c r="AK54" i="2"/>
  <c r="AN54" i="2"/>
  <c r="AM54" i="2"/>
  <c r="AL54" i="2"/>
  <c r="AO54" i="2"/>
  <c r="AP54" i="2"/>
  <c r="U28" i="2"/>
  <c r="W25" i="2"/>
  <c r="W23" i="2"/>
  <c r="AP23" i="2"/>
  <c r="AP25" i="2"/>
  <c r="AP19" i="2"/>
  <c r="AP20" i="2"/>
  <c r="AP18" i="2"/>
  <c r="AP16" i="2"/>
  <c r="AP17" i="2"/>
  <c r="AP15" i="2"/>
  <c r="AP13" i="2"/>
  <c r="AP14" i="2" s="1"/>
  <c r="AP12" i="2"/>
  <c r="AP11" i="2"/>
  <c r="AP10" i="2"/>
  <c r="AP9" i="2"/>
  <c r="AP8" i="2"/>
  <c r="V28" i="2"/>
  <c r="V50" i="2"/>
  <c r="V29" i="2"/>
  <c r="V36" i="2"/>
  <c r="V39" i="2"/>
  <c r="V15" i="2"/>
  <c r="V25" i="2"/>
  <c r="V23" i="2"/>
  <c r="V13" i="2"/>
  <c r="V10" i="2"/>
  <c r="U29" i="2"/>
  <c r="U39" i="2" s="1"/>
  <c r="U36" i="2"/>
  <c r="U15" i="2"/>
  <c r="U13" i="2"/>
  <c r="U10" i="2"/>
  <c r="U14" i="2" s="1"/>
  <c r="U23" i="2"/>
  <c r="AI23" i="2"/>
  <c r="AH23" i="2"/>
  <c r="AG23" i="2"/>
  <c r="AF23" i="2"/>
  <c r="AJ23" i="2"/>
  <c r="AI17" i="2"/>
  <c r="AI13" i="2"/>
  <c r="AI10" i="2"/>
  <c r="AI25" i="2" s="1"/>
  <c r="AK23" i="2"/>
  <c r="AJ17" i="2"/>
  <c r="AJ13" i="2"/>
  <c r="AJ10" i="2"/>
  <c r="AJ25" i="2" s="1"/>
  <c r="M25" i="2"/>
  <c r="N20" i="2"/>
  <c r="N12" i="2"/>
  <c r="N11" i="2"/>
  <c r="N13" i="2" s="1"/>
  <c r="N9" i="2"/>
  <c r="N8" i="2"/>
  <c r="N10" i="2" s="1"/>
  <c r="N25" i="2" s="1"/>
  <c r="T23" i="2"/>
  <c r="S23" i="2"/>
  <c r="Q23" i="2"/>
  <c r="P23" i="2"/>
  <c r="O23" i="2"/>
  <c r="K15" i="2"/>
  <c r="K13" i="2"/>
  <c r="K10" i="2"/>
  <c r="K25" i="2" s="1"/>
  <c r="L15" i="2"/>
  <c r="L13" i="2"/>
  <c r="L10" i="2"/>
  <c r="L25" i="2" s="1"/>
  <c r="M15" i="2"/>
  <c r="M13" i="2"/>
  <c r="M10" i="2"/>
  <c r="R17" i="2"/>
  <c r="R12" i="2"/>
  <c r="R20" i="2"/>
  <c r="R11" i="2"/>
  <c r="R13" i="2" s="1"/>
  <c r="R9" i="2"/>
  <c r="Q15" i="2"/>
  <c r="Q13" i="2"/>
  <c r="Q10" i="2"/>
  <c r="Q25" i="2" s="1"/>
  <c r="AO15" i="2"/>
  <c r="AO13" i="2"/>
  <c r="AO8" i="2"/>
  <c r="AO10" i="2" s="1"/>
  <c r="AO25" i="2" s="1"/>
  <c r="S15" i="2"/>
  <c r="S13" i="2"/>
  <c r="S10" i="2"/>
  <c r="S25" i="2" s="1"/>
  <c r="P15" i="2"/>
  <c r="T15" i="2"/>
  <c r="T13" i="2"/>
  <c r="T10" i="2"/>
  <c r="T25" i="2" s="1"/>
  <c r="P13" i="2"/>
  <c r="P10" i="2"/>
  <c r="P25" i="2" s="1"/>
  <c r="O15" i="2"/>
  <c r="O10" i="2"/>
  <c r="O25" i="2" s="1"/>
  <c r="O13" i="2"/>
  <c r="AN23" i="2"/>
  <c r="AN15" i="2"/>
  <c r="AN13" i="2"/>
  <c r="AN10" i="2"/>
  <c r="AL23" i="2"/>
  <c r="AM23" i="2"/>
  <c r="AL15" i="2"/>
  <c r="AK15" i="2"/>
  <c r="AK13" i="2"/>
  <c r="AK10" i="2"/>
  <c r="AK25" i="2" s="1"/>
  <c r="AL13" i="2"/>
  <c r="AL10" i="2"/>
  <c r="AL25" i="2" s="1"/>
  <c r="AM15" i="2"/>
  <c r="AM13" i="2"/>
  <c r="AM10" i="2"/>
  <c r="AM25" i="2" s="1"/>
  <c r="M4" i="1"/>
  <c r="M7" i="1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V14" i="2" l="1"/>
  <c r="V16" i="2" s="1"/>
  <c r="V18" i="2" s="1"/>
  <c r="V19" i="2" s="1"/>
  <c r="AN14" i="2"/>
  <c r="R15" i="2"/>
  <c r="R8" i="2"/>
  <c r="R10" i="2" s="1"/>
  <c r="R25" i="2" s="1"/>
  <c r="U16" i="2"/>
  <c r="U18" i="2" s="1"/>
  <c r="U19" i="2" s="1"/>
  <c r="U25" i="2"/>
  <c r="N14" i="2"/>
  <c r="N16" i="2" s="1"/>
  <c r="N18" i="2" s="1"/>
  <c r="N19" i="2" s="1"/>
  <c r="AO23" i="2"/>
  <c r="R23" i="2"/>
  <c r="AO14" i="2"/>
  <c r="AN25" i="2"/>
  <c r="R14" i="2"/>
  <c r="R16" i="2" s="1"/>
  <c r="AO16" i="2"/>
  <c r="AO18" i="2" s="1"/>
  <c r="AO19" i="2" s="1"/>
  <c r="AI14" i="2"/>
  <c r="AI16" i="2" s="1"/>
  <c r="AI18" i="2" s="1"/>
  <c r="AI19" i="2" s="1"/>
  <c r="AJ14" i="2"/>
  <c r="AJ16" i="2" s="1"/>
  <c r="AJ18" i="2" s="1"/>
  <c r="AJ19" i="2" s="1"/>
  <c r="K14" i="2"/>
  <c r="K16" i="2" s="1"/>
  <c r="K18" i="2" s="1"/>
  <c r="K19" i="2" s="1"/>
  <c r="L14" i="2"/>
  <c r="L16" i="2" s="1"/>
  <c r="L18" i="2" s="1"/>
  <c r="L19" i="2" s="1"/>
  <c r="M14" i="2"/>
  <c r="M16" i="2" s="1"/>
  <c r="M18" i="2" s="1"/>
  <c r="M19" i="2" s="1"/>
  <c r="R18" i="2"/>
  <c r="R19" i="2" s="1"/>
  <c r="Q14" i="2"/>
  <c r="Q16" i="2" s="1"/>
  <c r="Q18" i="2" s="1"/>
  <c r="Q19" i="2" s="1"/>
  <c r="S14" i="2"/>
  <c r="S16" i="2" s="1"/>
  <c r="S18" i="2" s="1"/>
  <c r="S19" i="2" s="1"/>
  <c r="T14" i="2"/>
  <c r="T16" i="2" s="1"/>
  <c r="T18" i="2" s="1"/>
  <c r="T19" i="2" s="1"/>
  <c r="P14" i="2"/>
  <c r="P16" i="2" s="1"/>
  <c r="P18" i="2" s="1"/>
  <c r="P19" i="2" s="1"/>
  <c r="AM14" i="2"/>
  <c r="AM16" i="2" s="1"/>
  <c r="AM18" i="2" s="1"/>
  <c r="AM19" i="2" s="1"/>
  <c r="AN16" i="2"/>
  <c r="AN18" i="2" s="1"/>
  <c r="AN19" i="2" s="1"/>
  <c r="O14" i="2"/>
  <c r="O16" i="2" s="1"/>
  <c r="O18" i="2" s="1"/>
  <c r="O19" i="2" s="1"/>
  <c r="AK14" i="2"/>
  <c r="AK16" i="2" s="1"/>
  <c r="AK18" i="2" s="1"/>
  <c r="AK19" i="2" s="1"/>
  <c r="AL14" i="2"/>
  <c r="AL16" i="2" s="1"/>
  <c r="AL18" i="2" s="1"/>
  <c r="AL19" i="2" s="1"/>
</calcChain>
</file>

<file path=xl/sharedStrings.xml><?xml version="1.0" encoding="utf-8"?>
<sst xmlns="http://schemas.openxmlformats.org/spreadsheetml/2006/main" count="103" uniqueCount="96">
  <si>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</si>
  <si>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</si>
  <si>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</si>
  <si>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</si>
  <si>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</si>
  <si>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</si>
  <si>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</si>
  <si>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</si>
  <si>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</si>
  <si>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</si>
  <si>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</si>
  <si>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</si>
  <si>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</si>
  <si>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</si>
  <si>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</si>
  <si>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</si>
  <si>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</si>
  <si>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</si>
  <si>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</si>
  <si>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</si>
  <si>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</si>
  <si>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</si>
  <si>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</si>
  <si>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</si>
  <si>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EPS</t>
  </si>
  <si>
    <t>COGS</t>
  </si>
  <si>
    <t>Gross Margin</t>
  </si>
  <si>
    <t>R&amp;D</t>
  </si>
  <si>
    <t>MS&amp;A</t>
  </si>
  <si>
    <t>Operating Expenses</t>
  </si>
  <si>
    <t>Operating Income</t>
  </si>
  <si>
    <t>Interest</t>
  </si>
  <si>
    <t>Pretax</t>
  </si>
  <si>
    <t>Taxes</t>
  </si>
  <si>
    <t>Net Income</t>
  </si>
  <si>
    <t>Revenue y/y</t>
  </si>
  <si>
    <t>Data Center</t>
  </si>
  <si>
    <t>Client</t>
  </si>
  <si>
    <t>Gaming</t>
  </si>
  <si>
    <t>Embedded</t>
  </si>
  <si>
    <t>Q124</t>
  </si>
  <si>
    <t>Q224</t>
  </si>
  <si>
    <t>Q324</t>
  </si>
  <si>
    <t>Q424</t>
  </si>
  <si>
    <t>Goodwill</t>
  </si>
  <si>
    <t>DTA</t>
  </si>
  <si>
    <t>AR</t>
  </si>
  <si>
    <t>Inventories</t>
  </si>
  <si>
    <t>Related Parties</t>
  </si>
  <si>
    <t>Prepaids</t>
  </si>
  <si>
    <t>PP&amp;E</t>
  </si>
  <si>
    <t>Lease</t>
  </si>
  <si>
    <t>Assets</t>
  </si>
  <si>
    <t>ONCA</t>
  </si>
  <si>
    <t>Q125</t>
  </si>
  <si>
    <t>Q225</t>
  </si>
  <si>
    <t>Q325</t>
  </si>
  <si>
    <t>Q425</t>
  </si>
  <si>
    <t>L+SE</t>
  </si>
  <si>
    <t>SE</t>
  </si>
  <si>
    <t>OLTL</t>
  </si>
  <si>
    <t>DT</t>
  </si>
  <si>
    <t>Leases</t>
  </si>
  <si>
    <t>OCL</t>
  </si>
  <si>
    <t>AL</t>
  </si>
  <si>
    <t>Related</t>
  </si>
  <si>
    <t>AP</t>
  </si>
  <si>
    <t>Net Debt</t>
  </si>
  <si>
    <t>Instinct GPU</t>
  </si>
  <si>
    <t>EPYC CPU</t>
  </si>
  <si>
    <t>Ryzen CPU</t>
  </si>
  <si>
    <t>Radeon GPU</t>
  </si>
  <si>
    <t>MI300X</t>
  </si>
  <si>
    <t>MI300</t>
  </si>
  <si>
    <t>ROCm</t>
  </si>
  <si>
    <t>LiquidAI, Vultr, Absci</t>
  </si>
  <si>
    <t>Ryzen AI PRO</t>
  </si>
  <si>
    <t>Dell Pro notebook/desktop PC partnership</t>
  </si>
  <si>
    <t>Ryzen AI Max, Max PRO</t>
  </si>
  <si>
    <t>Ryzen AI 300</t>
  </si>
  <si>
    <t>Ryzen AI 300 PRO</t>
  </si>
  <si>
    <t>notebook</t>
  </si>
  <si>
    <t>Ryzen 200</t>
  </si>
  <si>
    <t>Ryzen 200 PRO</t>
  </si>
  <si>
    <t>MI300A</t>
  </si>
  <si>
    <t>Ryzen 9000HX - handheld</t>
  </si>
  <si>
    <t>Ryzen Z2 - mobile</t>
  </si>
  <si>
    <t>Ryzen 9000X3D - desktop</t>
  </si>
  <si>
    <t>Versal FPGA</t>
  </si>
  <si>
    <t>CXL 3.1, PCIe Gen6, LPDDR5X</t>
  </si>
  <si>
    <t>Versal RF</t>
  </si>
  <si>
    <t>CFFO</t>
  </si>
  <si>
    <t>CX</t>
  </si>
  <si>
    <t>FCF</t>
  </si>
  <si>
    <t>MI450</t>
  </si>
  <si>
    <t>upcoming AI chip, CoWoS?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</si>
</sst>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DD6D8F-4ABD-4AAD-9484-668CC22754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42416</xdr:colOff>
      <xdr:row>0</xdr:row>
      <xdr:rowOff>0</xdr:rowOff>
    </xdr:from>
    <xdr:to>
      <xdr:col>42</xdr:col>
      <xdr:colOff>42416</xdr:colOff>
      <xdr:row>64</xdr:row>
      <xdr:rowOff>59121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725BA9-4D49-D0CA-4A29-7A2421674B5B}"/>
            </a:ext>
          </a:extLst>
        </xdr:cNvPr>
        <xdr:cNvCxnSpPr/>
      </xdr:nvCxnSpPr>
      <xdr:spPr>
        <a:xfrm>
          <a:off x="26022675" y="0"/>
          <a:ext cx="0" cy="10569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59755</xdr:colOff>
      <xdr:row>0</xdr:row>
      <xdr:rowOff>0</xdr:rowOff>
    </xdr:from>
    <xdr:to>
      <xdr:col>22</xdr:col>
      <xdr:colOff>59755</xdr:colOff>
      <xdr:row>71</xdr:row>
      <xdr:rowOff>110751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399797-0FC5-95B2-CB27-D05401A4D136}"/>
            </a:ext>
          </a:extLst>
        </xdr:cNvPr>
        <xdr:cNvCxnSpPr/>
      </xdr:nvCxnSpPr>
      <xdr:spPr>
        <a:xfrm>
          <a:off x="13821738" y="0"/>
          <a:ext cx="0" cy="11770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D5A4-2898-4A25-B128-984AAEABB5C4}">
  <dimension ref="B2:N25"/>
  <sheetViews>
    <sheetView tabSelected="1" zoomScale="130" zoomScaleNormal="130" workbookViewId="0">
      <selection activeCell="D8" sqref="D8"/>
    </sheetView>
  </sheetViews>
  <sheetFormatPr defaultRowHeight="12.5" x14ac:dyDescent="0.25"/>
  <sheetData>
    <row r="2" spans="2:14" x14ac:dyDescent="0.25">
      <c r="B2" t="s">
        <v>69</v>
      </c>
      <c r="F2" t="s">
        <v>88</v>
      </c>
      <c r="L2" t="s">
        <v>0</v>
      </c>
      <c r="M2" s="1">
        <v>96</v>
      </c>
    </row>
    <row r="3" spans="2:14" x14ac:dyDescent="0.25">
      <c r="B3" t="s">
        <v>68</v>
      </c>
      <c r="F3" t="s">
        <v>89</v>
      </c>
      <c r="L3" t="s">
        <v>1</v>
      </c>
      <c r="M3" s="3">
        <v>1634</v>
      </c>
      <c r="N3" s="2" t="s">
        <v>43</v>
      </c>
    </row>
    <row r="4" spans="2:14" x14ac:dyDescent="0.25">
      <c r="C4" t="s">
        <v>72</v>
      </c>
      <c r="F4" t="s">
        <v>90</v>
      </c>
      <c r="L4" t="s">
        <v>2</v>
      </c>
      <c r="M4" s="3">
        <f>+M2*M3</f>
        <v>156864</v>
      </c>
    </row>
    <row r="5" spans="2:14" x14ac:dyDescent="0.25">
      <c r="C5" t="s">
        <v>73</v>
      </c>
      <c r="L5" t="s">
        <v>3</v>
      </c>
      <c r="M5" s="3">
        <v>5281</v>
      </c>
      <c r="N5" s="2" t="s">
        <v>43</v>
      </c>
    </row>
    <row r="6" spans="2:14" x14ac:dyDescent="0.25">
      <c r="C6" t="s">
        <v>74</v>
      </c>
      <c r="L6" t="s">
        <v>4</v>
      </c>
      <c r="M6" s="3">
        <v>1721</v>
      </c>
      <c r="N6" s="2" t="s">
        <v>43</v>
      </c>
    </row>
    <row r="7" spans="2:14" ht="13" x14ac:dyDescent="0.3">
      <c r="C7" s="4" t="s">
        <v>94</v>
      </c>
      <c r="D7" t="s">
        <v>95</v>
      </c>
      <c r="L7" t="s">
        <v>5</v>
      </c>
      <c r="M7" s="3">
        <f>+M4-M5+M6</f>
        <v>153304</v>
      </c>
    </row>
    <row r="8" spans="2:14" x14ac:dyDescent="0.25">
      <c r="C8" t="s">
        <v>84</v>
      </c>
      <c r="M8" s="3"/>
    </row>
    <row r="9" spans="2:14" x14ac:dyDescent="0.25">
      <c r="B9" t="s">
        <v>70</v>
      </c>
    </row>
    <row r="10" spans="2:14" x14ac:dyDescent="0.25">
      <c r="C10" t="s">
        <v>87</v>
      </c>
    </row>
    <row r="11" spans="2:14" x14ac:dyDescent="0.25">
      <c r="C11" t="s">
        <v>86</v>
      </c>
    </row>
    <row r="12" spans="2:14" x14ac:dyDescent="0.25">
      <c r="C12" t="s">
        <v>85</v>
      </c>
    </row>
    <row r="13" spans="2:14" x14ac:dyDescent="0.25">
      <c r="B13" t="s">
        <v>76</v>
      </c>
    </row>
    <row r="14" spans="2:14" x14ac:dyDescent="0.25">
      <c r="C14" t="s">
        <v>77</v>
      </c>
    </row>
    <row r="15" spans="2:14" x14ac:dyDescent="0.25">
      <c r="B15" t="s">
        <v>78</v>
      </c>
    </row>
    <row r="16" spans="2:14" x14ac:dyDescent="0.25">
      <c r="B16" t="s">
        <v>79</v>
      </c>
    </row>
    <row r="17" spans="2:3" x14ac:dyDescent="0.25">
      <c r="B17" t="s">
        <v>80</v>
      </c>
    </row>
    <row r="18" spans="2:3" x14ac:dyDescent="0.25">
      <c r="C18" t="s">
        <v>81</v>
      </c>
    </row>
    <row r="19" spans="2:3" x14ac:dyDescent="0.25">
      <c r="B19" t="s">
        <v>82</v>
      </c>
    </row>
    <row r="20" spans="2:3" x14ac:dyDescent="0.25">
      <c r="B20" t="s">
        <v>83</v>
      </c>
    </row>
    <row r="21" spans="2:3" x14ac:dyDescent="0.25">
      <c r="B21" t="s">
        <v>71</v>
      </c>
    </row>
    <row r="25" spans="2:3" x14ac:dyDescent="0.25">
      <c r="B2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65FD-8E44-4C73-A775-FD93E4059E5E}">
  <dimension ref="A1:AX54"/>
  <sheetViews>
    <sheetView zoomScale="145" zoomScaleNormal="145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R5" sqref="AR5"/>
    </sheetView>
  </sheetViews>
  <sheetFormatPr defaultRowHeight="12.5" x14ac:dyDescent="0.25"/>
  <cols>
    <col min="1" max="1" width="5" bestFit="1" customWidth="1"/>
    <col min="2" max="2" width="18.1796875" bestFit="1" customWidth="1"/>
    <col min="3" max="28" width="9.1796875" style="2"/>
  </cols>
  <sheetData>
    <row r="1" spans="1:50" x14ac:dyDescent="0.25">
      <c r="A1" s="8" t="s">
        <v>6</v>
      </c>
    </row>
    <row r="2" spans="1:50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54</v>
      </c>
      <c r="X2" s="2" t="s">
        <v>55</v>
      </c>
      <c r="Y2" s="2" t="s">
        <v>56</v>
      </c>
      <c r="Z2" s="2" t="s">
        <v>57</v>
      </c>
      <c r="AE2">
        <v>2013</v>
      </c>
      <c r="AF2">
        <v>2014</v>
      </c>
      <c r="AG2">
        <v>2015</v>
      </c>
      <c r="AH2">
        <f>+AG2+1</f>
        <v>2016</v>
      </c>
      <c r="AI2">
        <f t="shared" ref="AI2:AX2" si="0">+AH2+1</f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  <c r="AW2">
        <f t="shared" si="0"/>
        <v>2031</v>
      </c>
      <c r="AX2">
        <f t="shared" si="0"/>
        <v>2032</v>
      </c>
    </row>
    <row r="3" spans="1:50" x14ac:dyDescent="0.25">
      <c r="B3" t="s">
        <v>36</v>
      </c>
      <c r="J3" s="10"/>
      <c r="K3" s="10">
        <v>1293</v>
      </c>
      <c r="L3" s="10"/>
      <c r="M3" s="10"/>
      <c r="N3" s="10"/>
      <c r="O3" s="10">
        <v>1295</v>
      </c>
      <c r="P3" s="10">
        <v>1321</v>
      </c>
      <c r="Q3" s="10"/>
      <c r="R3" s="10"/>
      <c r="S3" s="10"/>
      <c r="T3" s="10">
        <v>2834</v>
      </c>
      <c r="U3" s="10"/>
      <c r="V3" s="10">
        <v>3900</v>
      </c>
      <c r="AN3" s="3">
        <v>6043</v>
      </c>
      <c r="AO3" s="3">
        <v>6496</v>
      </c>
      <c r="AP3" s="3">
        <v>12600</v>
      </c>
    </row>
    <row r="4" spans="1:50" x14ac:dyDescent="0.25">
      <c r="B4" t="s">
        <v>37</v>
      </c>
      <c r="J4" s="10"/>
      <c r="K4" s="10">
        <v>2124</v>
      </c>
      <c r="O4" s="2">
        <v>739</v>
      </c>
      <c r="P4" s="10">
        <v>998</v>
      </c>
      <c r="Q4" s="10"/>
      <c r="R4" s="10"/>
      <c r="S4" s="10"/>
      <c r="T4" s="10">
        <v>1492</v>
      </c>
      <c r="U4" s="10"/>
      <c r="V4" s="10">
        <v>2300</v>
      </c>
      <c r="AN4" s="3">
        <v>6201</v>
      </c>
      <c r="AO4" s="3">
        <v>4651</v>
      </c>
      <c r="AP4" s="3">
        <v>7100</v>
      </c>
    </row>
    <row r="5" spans="1:50" x14ac:dyDescent="0.25">
      <c r="B5" t="s">
        <v>38</v>
      </c>
      <c r="J5" s="10"/>
      <c r="K5" s="10">
        <v>1875</v>
      </c>
      <c r="L5" s="10"/>
      <c r="M5" s="10"/>
      <c r="N5" s="10"/>
      <c r="O5" s="10">
        <v>1757</v>
      </c>
      <c r="P5" s="10">
        <v>1581</v>
      </c>
      <c r="Q5" s="10"/>
      <c r="R5" s="10"/>
      <c r="S5" s="10"/>
      <c r="T5" s="10">
        <v>648</v>
      </c>
      <c r="V5" s="2">
        <v>563</v>
      </c>
      <c r="AN5" s="3">
        <v>6805</v>
      </c>
      <c r="AO5" s="3">
        <v>6212</v>
      </c>
      <c r="AP5" s="3">
        <v>2600</v>
      </c>
    </row>
    <row r="6" spans="1:50" x14ac:dyDescent="0.25">
      <c r="B6" t="s">
        <v>39</v>
      </c>
      <c r="J6" s="10"/>
      <c r="K6" s="10">
        <v>595</v>
      </c>
      <c r="L6" s="10"/>
      <c r="M6" s="10"/>
      <c r="N6" s="10"/>
      <c r="O6" s="10">
        <v>1562</v>
      </c>
      <c r="P6" s="10">
        <v>1459</v>
      </c>
      <c r="Q6" s="10"/>
      <c r="R6" s="10"/>
      <c r="S6" s="10"/>
      <c r="T6" s="10">
        <v>861</v>
      </c>
      <c r="V6" s="2">
        <v>923</v>
      </c>
      <c r="AN6" s="3">
        <v>4552</v>
      </c>
      <c r="AO6" s="3">
        <v>5321</v>
      </c>
      <c r="AP6" s="3">
        <v>3600</v>
      </c>
    </row>
    <row r="7" spans="1:50" x14ac:dyDescent="0.25">
      <c r="AN7" s="3"/>
      <c r="AO7" s="3"/>
    </row>
    <row r="8" spans="1:50" s="4" customFormat="1" ht="13" x14ac:dyDescent="0.3">
      <c r="B8" s="4" t="s">
        <v>7</v>
      </c>
      <c r="C8" s="5"/>
      <c r="D8" s="5"/>
      <c r="E8" s="5"/>
      <c r="F8" s="5"/>
      <c r="G8" s="5"/>
      <c r="H8" s="5"/>
      <c r="I8" s="5"/>
      <c r="J8" s="9"/>
      <c r="K8" s="9">
        <v>5887</v>
      </c>
      <c r="L8" s="9">
        <v>6550</v>
      </c>
      <c r="M8" s="9">
        <v>5565</v>
      </c>
      <c r="N8" s="9">
        <f>+AN8-M8-L8-K8</f>
        <v>5599</v>
      </c>
      <c r="O8" s="9">
        <v>5353</v>
      </c>
      <c r="P8" s="9">
        <v>5359</v>
      </c>
      <c r="Q8" s="9">
        <v>5800</v>
      </c>
      <c r="R8" s="9">
        <f>+AO8-Q8-P8-O8</f>
        <v>6168</v>
      </c>
      <c r="S8" s="9">
        <v>5473</v>
      </c>
      <c r="T8" s="9">
        <v>5835</v>
      </c>
      <c r="U8" s="9">
        <v>6819</v>
      </c>
      <c r="V8" s="9">
        <v>7658</v>
      </c>
      <c r="W8" s="9">
        <v>7100</v>
      </c>
      <c r="X8" s="5"/>
      <c r="Y8" s="5"/>
      <c r="Z8" s="5"/>
      <c r="AA8" s="5"/>
      <c r="AB8" s="5"/>
      <c r="AE8" s="6">
        <v>5299</v>
      </c>
      <c r="AF8" s="6">
        <v>5506</v>
      </c>
      <c r="AG8" s="6">
        <v>3991</v>
      </c>
      <c r="AH8" s="6">
        <v>4272</v>
      </c>
      <c r="AI8" s="6">
        <v>5329</v>
      </c>
      <c r="AJ8" s="6">
        <v>6475</v>
      </c>
      <c r="AK8" s="6">
        <v>6731</v>
      </c>
      <c r="AL8" s="6">
        <v>9763</v>
      </c>
      <c r="AM8" s="6">
        <v>16434</v>
      </c>
      <c r="AN8" s="6">
        <v>23601</v>
      </c>
      <c r="AO8" s="6">
        <f>SUM(AO3:AO6)</f>
        <v>22680</v>
      </c>
      <c r="AP8" s="6">
        <f>SUM(S8:V8)</f>
        <v>25785</v>
      </c>
    </row>
    <row r="9" spans="1:50" x14ac:dyDescent="0.25">
      <c r="B9" t="s">
        <v>25</v>
      </c>
      <c r="J9" s="10"/>
      <c r="K9" s="10">
        <v>2883</v>
      </c>
      <c r="L9" s="10">
        <v>3115</v>
      </c>
      <c r="M9" s="10">
        <v>2799</v>
      </c>
      <c r="N9" s="10">
        <f>+AN9-M9-L9-K9</f>
        <v>2753</v>
      </c>
      <c r="O9" s="10">
        <v>2689</v>
      </c>
      <c r="P9" s="10">
        <v>2704</v>
      </c>
      <c r="Q9" s="10">
        <v>2843</v>
      </c>
      <c r="R9" s="10">
        <f>+AO9-Q9-P9-O9</f>
        <v>3042</v>
      </c>
      <c r="S9" s="10">
        <v>2683</v>
      </c>
      <c r="T9" s="10">
        <v>2740</v>
      </c>
      <c r="U9" s="10">
        <v>3167</v>
      </c>
      <c r="V9" s="10">
        <v>3524</v>
      </c>
      <c r="AI9" s="3">
        <v>3466</v>
      </c>
      <c r="AJ9" s="3">
        <v>4028</v>
      </c>
      <c r="AK9" s="3">
        <v>3863</v>
      </c>
      <c r="AL9" s="3">
        <v>5416</v>
      </c>
      <c r="AM9" s="3">
        <v>8505</v>
      </c>
      <c r="AN9" s="3">
        <v>11550</v>
      </c>
      <c r="AO9" s="3">
        <v>11278</v>
      </c>
      <c r="AP9" s="3">
        <f>SUM(S9:V9)</f>
        <v>12114</v>
      </c>
    </row>
    <row r="10" spans="1:50" x14ac:dyDescent="0.25">
      <c r="B10" t="s">
        <v>26</v>
      </c>
      <c r="J10" s="10"/>
      <c r="K10" s="10">
        <f>K8-K9</f>
        <v>3004</v>
      </c>
      <c r="L10" s="10">
        <f>L8-L9</f>
        <v>3435</v>
      </c>
      <c r="M10" s="10">
        <f>M8-M9</f>
        <v>2766</v>
      </c>
      <c r="N10" s="10">
        <f>+N8-N9</f>
        <v>2846</v>
      </c>
      <c r="O10" s="10">
        <f t="shared" ref="O10:T10" si="1">O8-O9</f>
        <v>2664</v>
      </c>
      <c r="P10" s="10">
        <f t="shared" si="1"/>
        <v>2655</v>
      </c>
      <c r="Q10" s="10">
        <f t="shared" si="1"/>
        <v>2957</v>
      </c>
      <c r="R10" s="10">
        <f t="shared" si="1"/>
        <v>3126</v>
      </c>
      <c r="S10" s="10">
        <f t="shared" si="1"/>
        <v>2790</v>
      </c>
      <c r="T10" s="10">
        <f t="shared" si="1"/>
        <v>3095</v>
      </c>
      <c r="U10" s="10">
        <f>+U8-U9</f>
        <v>3652</v>
      </c>
      <c r="V10" s="10">
        <f>+V8-V9</f>
        <v>4134</v>
      </c>
      <c r="AI10" s="3">
        <f t="shared" ref="AI10:AO10" si="2">+AI8-AI9</f>
        <v>1863</v>
      </c>
      <c r="AJ10" s="3">
        <f t="shared" si="2"/>
        <v>2447</v>
      </c>
      <c r="AK10" s="3">
        <f t="shared" si="2"/>
        <v>2868</v>
      </c>
      <c r="AL10" s="3">
        <f t="shared" si="2"/>
        <v>4347</v>
      </c>
      <c r="AM10" s="3">
        <f t="shared" si="2"/>
        <v>7929</v>
      </c>
      <c r="AN10" s="3">
        <f t="shared" si="2"/>
        <v>12051</v>
      </c>
      <c r="AO10" s="3">
        <f t="shared" si="2"/>
        <v>11402</v>
      </c>
      <c r="AP10" s="3">
        <f>+AP8-AP9</f>
        <v>13671</v>
      </c>
    </row>
    <row r="11" spans="1:50" x14ac:dyDescent="0.25">
      <c r="B11" t="s">
        <v>27</v>
      </c>
      <c r="J11" s="10"/>
      <c r="K11" s="10">
        <v>1060</v>
      </c>
      <c r="L11" s="10">
        <v>1300</v>
      </c>
      <c r="M11" s="10">
        <v>1279</v>
      </c>
      <c r="N11" s="10">
        <f t="shared" ref="N11:N12" si="3">+AN11-M11-L11-K11</f>
        <v>1366</v>
      </c>
      <c r="O11" s="10">
        <v>1411</v>
      </c>
      <c r="P11" s="10">
        <v>1443</v>
      </c>
      <c r="Q11" s="10">
        <v>1507</v>
      </c>
      <c r="R11" s="10">
        <f>+AO11-Q11-P11-O11</f>
        <v>1511</v>
      </c>
      <c r="S11" s="10">
        <v>1525</v>
      </c>
      <c r="T11" s="10">
        <v>1583</v>
      </c>
      <c r="U11" s="10">
        <v>1636</v>
      </c>
      <c r="V11" s="10">
        <v>1712</v>
      </c>
      <c r="AI11" s="3">
        <v>1196</v>
      </c>
      <c r="AJ11" s="3">
        <v>1434</v>
      </c>
      <c r="AK11" s="3">
        <v>1547</v>
      </c>
      <c r="AL11" s="3">
        <v>1983</v>
      </c>
      <c r="AM11" s="3">
        <v>2845</v>
      </c>
      <c r="AN11" s="3">
        <v>5005</v>
      </c>
      <c r="AO11" s="3">
        <v>5872</v>
      </c>
      <c r="AP11" s="3">
        <f t="shared" ref="AP11:AP12" si="4">SUM(S11:V11)</f>
        <v>6456</v>
      </c>
    </row>
    <row r="12" spans="1:50" x14ac:dyDescent="0.25">
      <c r="B12" t="s">
        <v>28</v>
      </c>
      <c r="J12" s="10"/>
      <c r="K12" s="10">
        <v>597</v>
      </c>
      <c r="L12" s="10">
        <v>592</v>
      </c>
      <c r="M12" s="10">
        <v>557</v>
      </c>
      <c r="N12" s="10">
        <f t="shared" si="3"/>
        <v>590</v>
      </c>
      <c r="O12" s="10">
        <v>585</v>
      </c>
      <c r="P12" s="10">
        <v>547</v>
      </c>
      <c r="Q12" s="10">
        <v>576</v>
      </c>
      <c r="R12" s="10">
        <f>+AO12-Q12-P12-O12</f>
        <v>644</v>
      </c>
      <c r="S12" s="10">
        <v>620</v>
      </c>
      <c r="T12" s="10">
        <v>650</v>
      </c>
      <c r="U12" s="10">
        <v>721</v>
      </c>
      <c r="V12" s="10">
        <v>792</v>
      </c>
      <c r="AI12" s="3">
        <v>516</v>
      </c>
      <c r="AJ12" s="3">
        <v>562</v>
      </c>
      <c r="AK12" s="3">
        <v>750</v>
      </c>
      <c r="AL12" s="3">
        <v>995</v>
      </c>
      <c r="AM12" s="3">
        <v>1448</v>
      </c>
      <c r="AN12" s="3">
        <v>2336</v>
      </c>
      <c r="AO12" s="3">
        <v>2352</v>
      </c>
      <c r="AP12" s="3">
        <f t="shared" si="4"/>
        <v>2783</v>
      </c>
    </row>
    <row r="13" spans="1:50" x14ac:dyDescent="0.25">
      <c r="B13" t="s">
        <v>29</v>
      </c>
      <c r="J13" s="10"/>
      <c r="K13" s="10">
        <f>K11+K12</f>
        <v>1657</v>
      </c>
      <c r="L13" s="10">
        <f>L11+L12</f>
        <v>1892</v>
      </c>
      <c r="M13" s="10">
        <f>M11+M12</f>
        <v>1836</v>
      </c>
      <c r="N13" s="10">
        <f t="shared" ref="N13" si="5">N11+N12</f>
        <v>1956</v>
      </c>
      <c r="O13" s="10">
        <f t="shared" ref="O13:U13" si="6">O11+O12</f>
        <v>1996</v>
      </c>
      <c r="P13" s="10">
        <f t="shared" si="6"/>
        <v>1990</v>
      </c>
      <c r="Q13" s="10">
        <f t="shared" si="6"/>
        <v>2083</v>
      </c>
      <c r="R13" s="10">
        <f t="shared" si="6"/>
        <v>2155</v>
      </c>
      <c r="S13" s="10">
        <f t="shared" si="6"/>
        <v>2145</v>
      </c>
      <c r="T13" s="10">
        <f t="shared" si="6"/>
        <v>2233</v>
      </c>
      <c r="U13" s="10">
        <f t="shared" si="6"/>
        <v>2357</v>
      </c>
      <c r="V13" s="10">
        <f t="shared" ref="V13" si="7">V11+V12</f>
        <v>2504</v>
      </c>
      <c r="AI13" s="3">
        <f>+AI11+AI12</f>
        <v>1712</v>
      </c>
      <c r="AJ13" s="3">
        <f>+AJ11+AJ12</f>
        <v>1996</v>
      </c>
      <c r="AK13" s="3">
        <f>+AK11+AK12</f>
        <v>2297</v>
      </c>
      <c r="AL13" s="3">
        <f>+AL11+AL12</f>
        <v>2978</v>
      </c>
      <c r="AM13" s="3">
        <f>+AM11+AM12</f>
        <v>4293</v>
      </c>
      <c r="AN13" s="3">
        <f t="shared" ref="AN13:AO13" si="8">+AN11+AN12</f>
        <v>7341</v>
      </c>
      <c r="AO13" s="3">
        <f t="shared" si="8"/>
        <v>8224</v>
      </c>
      <c r="AP13" s="3">
        <f t="shared" ref="AP13" si="9">+AP11+AP12</f>
        <v>9239</v>
      </c>
    </row>
    <row r="14" spans="1:50" x14ac:dyDescent="0.25">
      <c r="B14" t="s">
        <v>30</v>
      </c>
      <c r="J14" s="10"/>
      <c r="K14" s="10">
        <f>K10-K13</f>
        <v>1347</v>
      </c>
      <c r="L14" s="10">
        <f>L10-L13</f>
        <v>1543</v>
      </c>
      <c r="M14" s="10">
        <f>M10-M13</f>
        <v>930</v>
      </c>
      <c r="N14" s="10">
        <f t="shared" ref="N14" si="10">N10-N13</f>
        <v>890</v>
      </c>
      <c r="O14" s="10">
        <f t="shared" ref="O14:U14" si="11">O10-O13</f>
        <v>668</v>
      </c>
      <c r="P14" s="10">
        <f t="shared" si="11"/>
        <v>665</v>
      </c>
      <c r="Q14" s="10">
        <f t="shared" si="11"/>
        <v>874</v>
      </c>
      <c r="R14" s="10">
        <f t="shared" si="11"/>
        <v>971</v>
      </c>
      <c r="S14" s="10">
        <f t="shared" si="11"/>
        <v>645</v>
      </c>
      <c r="T14" s="10">
        <f t="shared" si="11"/>
        <v>862</v>
      </c>
      <c r="U14" s="10">
        <f t="shared" si="11"/>
        <v>1295</v>
      </c>
      <c r="V14" s="10">
        <f t="shared" ref="V14" si="12">V10-V13</f>
        <v>1630</v>
      </c>
      <c r="AI14" s="3">
        <f>+AI10-AI13</f>
        <v>151</v>
      </c>
      <c r="AJ14" s="3">
        <f>+AJ10-AJ13</f>
        <v>451</v>
      </c>
      <c r="AK14" s="3">
        <f>+AK10-AK13</f>
        <v>571</v>
      </c>
      <c r="AL14" s="3">
        <f>+AL10-AL13</f>
        <v>1369</v>
      </c>
      <c r="AM14" s="3">
        <f>+AM10-AM13</f>
        <v>3636</v>
      </c>
      <c r="AN14" s="3">
        <f t="shared" ref="AN14:AO14" si="13">+AN10-AN13</f>
        <v>4710</v>
      </c>
      <c r="AO14" s="3">
        <f t="shared" si="13"/>
        <v>3178</v>
      </c>
      <c r="AP14" s="3">
        <f t="shared" ref="AP14" si="14">+AP10-AP13</f>
        <v>4432</v>
      </c>
    </row>
    <row r="15" spans="1:50" x14ac:dyDescent="0.25">
      <c r="B15" t="s">
        <v>31</v>
      </c>
      <c r="J15" s="10"/>
      <c r="K15" s="10">
        <f>-13-42</f>
        <v>-55</v>
      </c>
      <c r="L15" s="10">
        <f>-25-4</f>
        <v>-29</v>
      </c>
      <c r="M15" s="10">
        <f>-25+43</f>
        <v>18</v>
      </c>
      <c r="N15" s="10"/>
      <c r="O15" s="10">
        <f>-25+43</f>
        <v>18</v>
      </c>
      <c r="P15" s="10">
        <f>-28+46</f>
        <v>18</v>
      </c>
      <c r="Q15" s="10">
        <f>-26+59</f>
        <v>33</v>
      </c>
      <c r="R15" s="10">
        <f>+AO15-Q15-P15-O15</f>
        <v>22</v>
      </c>
      <c r="S15" s="10">
        <f>-25+53</f>
        <v>28</v>
      </c>
      <c r="T15" s="10">
        <f>-25+55</f>
        <v>30</v>
      </c>
      <c r="U15" s="2">
        <f>-23+36</f>
        <v>13</v>
      </c>
      <c r="V15" s="2">
        <f>-19+37</f>
        <v>18</v>
      </c>
      <c r="AI15" s="3">
        <v>-121</v>
      </c>
      <c r="AJ15" s="3">
        <v>-121</v>
      </c>
      <c r="AK15" s="3">
        <f>-94-165</f>
        <v>-259</v>
      </c>
      <c r="AL15" s="3">
        <f>-47-47</f>
        <v>-94</v>
      </c>
      <c r="AM15" s="3">
        <f>-34+55</f>
        <v>21</v>
      </c>
      <c r="AN15" s="3">
        <f>-88+8</f>
        <v>-80</v>
      </c>
      <c r="AO15">
        <f>-106+197</f>
        <v>91</v>
      </c>
      <c r="AP15" s="3">
        <f t="shared" ref="AP15" si="15">SUM(S15:V15)</f>
        <v>89</v>
      </c>
    </row>
    <row r="16" spans="1:50" x14ac:dyDescent="0.25">
      <c r="B16" t="s">
        <v>32</v>
      </c>
      <c r="J16" s="10"/>
      <c r="K16" s="10">
        <f>K14+K15</f>
        <v>1292</v>
      </c>
      <c r="L16" s="10">
        <f>L14+L15</f>
        <v>1514</v>
      </c>
      <c r="M16" s="10">
        <f>M14+M15</f>
        <v>948</v>
      </c>
      <c r="N16" s="10">
        <f t="shared" ref="N16" si="16">N14+N15</f>
        <v>890</v>
      </c>
      <c r="O16" s="10">
        <f t="shared" ref="O16:U16" si="17">O14+O15</f>
        <v>686</v>
      </c>
      <c r="P16" s="10">
        <f t="shared" si="17"/>
        <v>683</v>
      </c>
      <c r="Q16" s="10">
        <f t="shared" si="17"/>
        <v>907</v>
      </c>
      <c r="R16" s="10">
        <f t="shared" si="17"/>
        <v>993</v>
      </c>
      <c r="S16" s="10">
        <f t="shared" si="17"/>
        <v>673</v>
      </c>
      <c r="T16" s="10">
        <f t="shared" si="17"/>
        <v>892</v>
      </c>
      <c r="U16" s="10">
        <f t="shared" si="17"/>
        <v>1308</v>
      </c>
      <c r="V16" s="10">
        <f t="shared" ref="V16" si="18">V14+V15</f>
        <v>1648</v>
      </c>
      <c r="AI16" s="3">
        <f t="shared" ref="AI16:AP16" si="19">+AI14+AI15</f>
        <v>30</v>
      </c>
      <c r="AJ16" s="3">
        <f t="shared" si="19"/>
        <v>330</v>
      </c>
      <c r="AK16" s="3">
        <f t="shared" si="19"/>
        <v>312</v>
      </c>
      <c r="AL16" s="3">
        <f t="shared" si="19"/>
        <v>1275</v>
      </c>
      <c r="AM16" s="3">
        <f t="shared" si="19"/>
        <v>3657</v>
      </c>
      <c r="AN16" s="3">
        <f t="shared" si="19"/>
        <v>4630</v>
      </c>
      <c r="AO16" s="3">
        <f t="shared" si="19"/>
        <v>3269</v>
      </c>
      <c r="AP16" s="3">
        <f t="shared" si="19"/>
        <v>4521</v>
      </c>
    </row>
    <row r="17" spans="2:42" x14ac:dyDescent="0.25">
      <c r="B17" t="s">
        <v>33</v>
      </c>
      <c r="J17" s="10"/>
      <c r="K17" s="10">
        <v>113</v>
      </c>
      <c r="L17" s="10">
        <v>54</v>
      </c>
      <c r="M17" s="10">
        <v>13</v>
      </c>
      <c r="N17" s="10"/>
      <c r="O17" s="10">
        <v>13</v>
      </c>
      <c r="P17" s="10">
        <v>-23</v>
      </c>
      <c r="Q17" s="10">
        <v>-39</v>
      </c>
      <c r="R17" s="10">
        <f>+AO17-Q17-P17-O17</f>
        <v>395</v>
      </c>
      <c r="S17" s="10">
        <v>52</v>
      </c>
      <c r="T17" s="10">
        <v>41</v>
      </c>
      <c r="U17" s="2">
        <v>-27</v>
      </c>
      <c r="V17" s="2">
        <v>419</v>
      </c>
      <c r="AI17" s="3">
        <f>9+2</f>
        <v>11</v>
      </c>
      <c r="AJ17" s="3">
        <f>9+2</f>
        <v>11</v>
      </c>
      <c r="AK17" s="3">
        <v>0</v>
      </c>
      <c r="AL17" s="3">
        <v>0</v>
      </c>
      <c r="AM17" s="3">
        <v>513</v>
      </c>
      <c r="AN17" s="3">
        <v>0</v>
      </c>
      <c r="AO17" s="3">
        <v>346</v>
      </c>
      <c r="AP17" s="3">
        <f t="shared" ref="AP17" si="20">SUM(S17:V17)</f>
        <v>485</v>
      </c>
    </row>
    <row r="18" spans="2:42" x14ac:dyDescent="0.25">
      <c r="B18" t="s">
        <v>34</v>
      </c>
      <c r="J18" s="10"/>
      <c r="K18" s="10">
        <f>K16-K17</f>
        <v>1179</v>
      </c>
      <c r="L18" s="10">
        <f>L16-L17</f>
        <v>1460</v>
      </c>
      <c r="M18" s="10">
        <f>M16-M17</f>
        <v>935</v>
      </c>
      <c r="N18" s="10">
        <f t="shared" ref="N18" si="21">N16-N17</f>
        <v>890</v>
      </c>
      <c r="O18" s="10">
        <f t="shared" ref="O18:U18" si="22">O16-O17</f>
        <v>673</v>
      </c>
      <c r="P18" s="10">
        <f t="shared" si="22"/>
        <v>706</v>
      </c>
      <c r="Q18" s="10">
        <f t="shared" si="22"/>
        <v>946</v>
      </c>
      <c r="R18" s="10">
        <f t="shared" si="22"/>
        <v>598</v>
      </c>
      <c r="S18" s="10">
        <f t="shared" si="22"/>
        <v>621</v>
      </c>
      <c r="T18" s="10">
        <f t="shared" si="22"/>
        <v>851</v>
      </c>
      <c r="U18" s="10">
        <f t="shared" si="22"/>
        <v>1335</v>
      </c>
      <c r="V18" s="10">
        <f t="shared" ref="V18" si="23">V16-V17</f>
        <v>1229</v>
      </c>
      <c r="AI18" s="3">
        <f t="shared" ref="AI18:AP18" si="24">+AI16-AI17</f>
        <v>19</v>
      </c>
      <c r="AJ18" s="3">
        <f t="shared" si="24"/>
        <v>319</v>
      </c>
      <c r="AK18" s="3">
        <f t="shared" si="24"/>
        <v>312</v>
      </c>
      <c r="AL18" s="3">
        <f t="shared" si="24"/>
        <v>1275</v>
      </c>
      <c r="AM18" s="3">
        <f t="shared" si="24"/>
        <v>3144</v>
      </c>
      <c r="AN18" s="3">
        <f t="shared" si="24"/>
        <v>4630</v>
      </c>
      <c r="AO18" s="3">
        <f t="shared" si="24"/>
        <v>2923</v>
      </c>
      <c r="AP18" s="3">
        <f t="shared" si="24"/>
        <v>4036</v>
      </c>
    </row>
    <row r="19" spans="2:42" x14ac:dyDescent="0.25">
      <c r="B19" t="s">
        <v>24</v>
      </c>
      <c r="J19" s="11"/>
      <c r="K19" s="11">
        <f t="shared" ref="K19:U19" si="25">K18/K20</f>
        <v>0.83617021276595749</v>
      </c>
      <c r="L19" s="11">
        <f t="shared" si="25"/>
        <v>0.89460784313725494</v>
      </c>
      <c r="M19" s="11">
        <f t="shared" si="25"/>
        <v>0.58038485412787089</v>
      </c>
      <c r="N19" s="11">
        <f t="shared" si="25"/>
        <v>0.56651814131126665</v>
      </c>
      <c r="O19" s="11">
        <f t="shared" si="25"/>
        <v>0.41775294847920547</v>
      </c>
      <c r="P19" s="11">
        <f t="shared" si="25"/>
        <v>0.4339274738783036</v>
      </c>
      <c r="Q19" s="11">
        <f t="shared" si="25"/>
        <v>0.58072437077961936</v>
      </c>
      <c r="R19" s="11">
        <f t="shared" si="25"/>
        <v>0.36799999999999999</v>
      </c>
      <c r="S19" s="11">
        <f t="shared" si="25"/>
        <v>0.37888956680902991</v>
      </c>
      <c r="T19" s="11">
        <f t="shared" si="25"/>
        <v>0.51985339034819789</v>
      </c>
      <c r="U19" s="11">
        <f t="shared" si="25"/>
        <v>0.81601466992665039</v>
      </c>
      <c r="V19" s="11">
        <f t="shared" ref="V19" si="26">V18/V20</f>
        <v>0.75214198286413714</v>
      </c>
      <c r="AI19" s="1">
        <f t="shared" ref="AI19:AP19" si="27">+AI18/AI20</f>
        <v>1.9957983193277309E-2</v>
      </c>
      <c r="AJ19" s="1">
        <f t="shared" si="27"/>
        <v>0.29981203007518797</v>
      </c>
      <c r="AK19" s="1">
        <f t="shared" si="27"/>
        <v>0.27857142857142858</v>
      </c>
      <c r="AL19" s="1">
        <f t="shared" si="27"/>
        <v>1.056338028169014</v>
      </c>
      <c r="AM19" s="1">
        <f t="shared" si="27"/>
        <v>2.5581773799837264</v>
      </c>
      <c r="AN19" s="1">
        <f t="shared" si="27"/>
        <v>2.9471674092934435</v>
      </c>
      <c r="AO19" s="1">
        <f t="shared" si="27"/>
        <v>1.7987692307692307</v>
      </c>
      <c r="AP19" s="1">
        <f t="shared" si="27"/>
        <v>2.4662389245340668</v>
      </c>
    </row>
    <row r="20" spans="2:42" x14ac:dyDescent="0.25">
      <c r="B20" t="s">
        <v>1</v>
      </c>
      <c r="J20" s="10"/>
      <c r="K20" s="10">
        <v>1410</v>
      </c>
      <c r="L20" s="10">
        <v>1632</v>
      </c>
      <c r="M20" s="10">
        <v>1611</v>
      </c>
      <c r="N20" s="10">
        <f>+AN20</f>
        <v>1571</v>
      </c>
      <c r="O20" s="10">
        <v>1611</v>
      </c>
      <c r="P20" s="10">
        <v>1627</v>
      </c>
      <c r="Q20" s="10">
        <v>1629</v>
      </c>
      <c r="R20" s="10">
        <f>+AO20</f>
        <v>1625</v>
      </c>
      <c r="S20" s="10">
        <v>1639</v>
      </c>
      <c r="T20" s="10">
        <v>1637</v>
      </c>
      <c r="U20" s="10">
        <v>1636</v>
      </c>
      <c r="V20" s="10">
        <v>1634</v>
      </c>
      <c r="AI20" s="3">
        <v>952</v>
      </c>
      <c r="AJ20" s="3">
        <v>1064</v>
      </c>
      <c r="AK20" s="3">
        <v>1120</v>
      </c>
      <c r="AL20" s="3">
        <v>1207</v>
      </c>
      <c r="AM20" s="3">
        <v>1229</v>
      </c>
      <c r="AN20" s="3">
        <v>1571</v>
      </c>
      <c r="AO20" s="3">
        <v>1625</v>
      </c>
      <c r="AP20" s="3">
        <f>AVERAGE(S20:V20)</f>
        <v>1636.5</v>
      </c>
    </row>
    <row r="23" spans="2:42" x14ac:dyDescent="0.25">
      <c r="B23" t="s">
        <v>35</v>
      </c>
      <c r="N23" s="12"/>
      <c r="O23" s="12">
        <f>O8/K8-1</f>
        <v>-9.0708340411075228E-2</v>
      </c>
      <c r="P23" s="12">
        <f t="shared" ref="P23:W23" si="28">P8/L8-1</f>
        <v>-0.18183206106870231</v>
      </c>
      <c r="Q23" s="12">
        <f t="shared" si="28"/>
        <v>4.2228212039532753E-2</v>
      </c>
      <c r="R23" s="12">
        <f t="shared" si="28"/>
        <v>0.10162529023039824</v>
      </c>
      <c r="S23" s="12">
        <f t="shared" si="28"/>
        <v>2.2417336073230043E-2</v>
      </c>
      <c r="T23" s="12">
        <f t="shared" si="28"/>
        <v>8.882254151894009E-2</v>
      </c>
      <c r="U23" s="12">
        <f t="shared" si="28"/>
        <v>0.17568965517241386</v>
      </c>
      <c r="V23" s="12">
        <f t="shared" si="28"/>
        <v>0.24156939040207526</v>
      </c>
      <c r="W23" s="12">
        <f t="shared" si="28"/>
        <v>0.29727754430842324</v>
      </c>
      <c r="AF23" s="7">
        <f t="shared" ref="AF23:AI23" si="29">+AF8/AE8-1</f>
        <v>3.9063974334780038E-2</v>
      </c>
      <c r="AG23" s="7">
        <f t="shared" si="29"/>
        <v>-0.27515437704322554</v>
      </c>
      <c r="AH23" s="7">
        <f t="shared" si="29"/>
        <v>7.0408418942620843E-2</v>
      </c>
      <c r="AI23" s="7">
        <f t="shared" si="29"/>
        <v>0.24742509363295873</v>
      </c>
      <c r="AJ23" s="7">
        <f t="shared" ref="AJ23:AO23" si="30">+AJ8/AI8-1</f>
        <v>0.21504972790392185</v>
      </c>
      <c r="AK23" s="7">
        <f t="shared" si="30"/>
        <v>3.9536679536679609E-2</v>
      </c>
      <c r="AL23" s="7">
        <f t="shared" si="30"/>
        <v>0.45045312732134901</v>
      </c>
      <c r="AM23" s="7">
        <f t="shared" si="30"/>
        <v>0.68329406944586712</v>
      </c>
      <c r="AN23" s="7">
        <f t="shared" si="30"/>
        <v>0.43610806863818907</v>
      </c>
      <c r="AO23" s="7">
        <f t="shared" si="30"/>
        <v>-3.9023770179229644E-2</v>
      </c>
      <c r="AP23" s="7">
        <f>+AP8/AO8-1</f>
        <v>0.13690476190476186</v>
      </c>
    </row>
    <row r="25" spans="2:42" x14ac:dyDescent="0.25">
      <c r="B25" t="s">
        <v>26</v>
      </c>
      <c r="J25" s="12"/>
      <c r="K25" s="12">
        <f>K10/K8</f>
        <v>0.51027688126380155</v>
      </c>
      <c r="L25" s="12">
        <f>L10/L8</f>
        <v>0.52442748091603053</v>
      </c>
      <c r="M25" s="12">
        <f t="shared" ref="M25:N25" si="31">M10/M8</f>
        <v>0.49703504043126684</v>
      </c>
      <c r="N25" s="12">
        <f t="shared" si="31"/>
        <v>0.5083050544740132</v>
      </c>
      <c r="O25" s="12">
        <f>O10/O8</f>
        <v>0.49766486082570521</v>
      </c>
      <c r="P25" s="12">
        <f t="shared" ref="P25:W25" si="32">P10/P8</f>
        <v>0.49542825153946629</v>
      </c>
      <c r="Q25" s="12">
        <f t="shared" si="32"/>
        <v>0.5098275862068965</v>
      </c>
      <c r="R25" s="12">
        <f t="shared" si="32"/>
        <v>0.50680933852140075</v>
      </c>
      <c r="S25" s="12">
        <f t="shared" si="32"/>
        <v>0.5097752603690846</v>
      </c>
      <c r="T25" s="12">
        <f t="shared" si="32"/>
        <v>0.53041988003427587</v>
      </c>
      <c r="U25" s="12">
        <f t="shared" si="32"/>
        <v>0.53556239917876525</v>
      </c>
      <c r="V25" s="12">
        <f t="shared" si="32"/>
        <v>0.53982763123530952</v>
      </c>
      <c r="W25" s="12">
        <f t="shared" si="32"/>
        <v>0</v>
      </c>
      <c r="AI25" s="7">
        <f>+AI10/AI8</f>
        <v>0.3495965471945956</v>
      </c>
      <c r="AJ25" s="7">
        <f>+AJ10/AJ8</f>
        <v>0.37791505791505792</v>
      </c>
      <c r="AK25" s="7">
        <f>+AK10/AK8</f>
        <v>0.42608824840291187</v>
      </c>
      <c r="AL25" s="7">
        <f t="shared" ref="AL25:AP25" si="33">+AL10/AL8</f>
        <v>0.44525248386766364</v>
      </c>
      <c r="AM25" s="7">
        <f t="shared" si="33"/>
        <v>0.48247535596933189</v>
      </c>
      <c r="AN25" s="7">
        <f t="shared" si="33"/>
        <v>0.51061395703571888</v>
      </c>
      <c r="AO25" s="7">
        <f t="shared" si="33"/>
        <v>0.5027336860670194</v>
      </c>
      <c r="AP25" s="7">
        <f t="shared" si="33"/>
        <v>0.53019197207678881</v>
      </c>
    </row>
    <row r="28" spans="2:42" x14ac:dyDescent="0.25">
      <c r="B28" t="s">
        <v>67</v>
      </c>
      <c r="U28" s="10">
        <f>+U29-U45</f>
        <v>4681</v>
      </c>
      <c r="V28" s="10">
        <f>+V29-V45</f>
        <v>3560</v>
      </c>
    </row>
    <row r="29" spans="2:42" x14ac:dyDescent="0.25">
      <c r="B29" t="s">
        <v>3</v>
      </c>
      <c r="U29" s="10">
        <f>3897+647+137</f>
        <v>4681</v>
      </c>
      <c r="V29" s="10">
        <f>3787+1345+149</f>
        <v>5281</v>
      </c>
    </row>
    <row r="30" spans="2:42" x14ac:dyDescent="0.25">
      <c r="B30" t="s">
        <v>46</v>
      </c>
      <c r="U30" s="10">
        <v>7241</v>
      </c>
      <c r="V30" s="10">
        <v>6192</v>
      </c>
    </row>
    <row r="31" spans="2:42" x14ac:dyDescent="0.25">
      <c r="B31" t="s">
        <v>47</v>
      </c>
      <c r="U31" s="10">
        <v>5374</v>
      </c>
      <c r="V31" s="10">
        <v>5734</v>
      </c>
    </row>
    <row r="32" spans="2:42" x14ac:dyDescent="0.25">
      <c r="B32" t="s">
        <v>48</v>
      </c>
      <c r="U32" s="10">
        <v>29</v>
      </c>
      <c r="V32" s="10">
        <v>113</v>
      </c>
    </row>
    <row r="33" spans="2:28" x14ac:dyDescent="0.25">
      <c r="B33" t="s">
        <v>49</v>
      </c>
      <c r="U33" s="10">
        <v>1547</v>
      </c>
      <c r="V33" s="10">
        <v>1878</v>
      </c>
    </row>
    <row r="34" spans="2:28" x14ac:dyDescent="0.25">
      <c r="B34" t="s">
        <v>50</v>
      </c>
      <c r="U34" s="10">
        <v>1669</v>
      </c>
      <c r="V34" s="10">
        <v>1802</v>
      </c>
    </row>
    <row r="35" spans="2:28" x14ac:dyDescent="0.25">
      <c r="B35" t="s">
        <v>51</v>
      </c>
      <c r="U35" s="10">
        <v>647</v>
      </c>
      <c r="V35" s="10">
        <v>623</v>
      </c>
    </row>
    <row r="36" spans="2:28" x14ac:dyDescent="0.25">
      <c r="B36" t="s">
        <v>44</v>
      </c>
      <c r="U36" s="10">
        <f>24839+19572</f>
        <v>44411</v>
      </c>
      <c r="V36" s="10">
        <f>24839+18930</f>
        <v>43769</v>
      </c>
    </row>
    <row r="37" spans="2:28" x14ac:dyDescent="0.25">
      <c r="B37" t="s">
        <v>45</v>
      </c>
      <c r="U37" s="10">
        <v>1183</v>
      </c>
      <c r="V37" s="10">
        <v>688</v>
      </c>
    </row>
    <row r="38" spans="2:28" x14ac:dyDescent="0.25">
      <c r="B38" t="s">
        <v>53</v>
      </c>
      <c r="U38" s="10">
        <v>2854</v>
      </c>
      <c r="V38" s="10">
        <v>3146</v>
      </c>
    </row>
    <row r="39" spans="2:28" x14ac:dyDescent="0.25">
      <c r="B39" t="s">
        <v>52</v>
      </c>
      <c r="U39" s="10">
        <f>SUM(U29:U38)</f>
        <v>69636</v>
      </c>
      <c r="V39" s="10">
        <f>SUM(V29:V38)</f>
        <v>69226</v>
      </c>
    </row>
    <row r="41" spans="2:28" s="3" customFormat="1" x14ac:dyDescent="0.25">
      <c r="B41" s="3" t="s">
        <v>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1990</v>
      </c>
      <c r="W41" s="10"/>
      <c r="X41" s="10"/>
      <c r="Y41" s="10"/>
      <c r="Z41" s="10"/>
      <c r="AA41" s="10"/>
      <c r="AB41" s="10"/>
    </row>
    <row r="42" spans="2:28" s="3" customFormat="1" x14ac:dyDescent="0.25">
      <c r="B42" s="3" t="s">
        <v>65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>
        <v>476</v>
      </c>
      <c r="W42" s="10"/>
      <c r="X42" s="10"/>
      <c r="Y42" s="10"/>
      <c r="Z42" s="10"/>
      <c r="AA42" s="10"/>
      <c r="AB42" s="10"/>
    </row>
    <row r="43" spans="2:28" s="3" customFormat="1" x14ac:dyDescent="0.25">
      <c r="B43" s="3" t="s">
        <v>64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v>4260</v>
      </c>
      <c r="W43" s="10"/>
      <c r="X43" s="10"/>
      <c r="Y43" s="10"/>
      <c r="Z43" s="10"/>
      <c r="AA43" s="10"/>
      <c r="AB43" s="10"/>
    </row>
    <row r="44" spans="2:28" s="3" customFormat="1" x14ac:dyDescent="0.25">
      <c r="B44" s="3" t="s">
        <v>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555</v>
      </c>
      <c r="W44" s="10"/>
      <c r="X44" s="10"/>
      <c r="Y44" s="10"/>
      <c r="Z44" s="10"/>
      <c r="AA44" s="10"/>
      <c r="AB44" s="10"/>
    </row>
    <row r="45" spans="2:28" s="3" customFormat="1" x14ac:dyDescent="0.25">
      <c r="B45" s="3" t="s">
        <v>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>
        <v>1721</v>
      </c>
      <c r="W45" s="10"/>
      <c r="X45" s="10"/>
      <c r="Y45" s="10"/>
      <c r="Z45" s="10"/>
      <c r="AA45" s="10"/>
      <c r="AB45" s="10"/>
    </row>
    <row r="46" spans="2:28" s="3" customFormat="1" x14ac:dyDescent="0.25">
      <c r="B46" s="3" t="s">
        <v>62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>
        <v>491</v>
      </c>
      <c r="W46" s="10"/>
      <c r="X46" s="10"/>
      <c r="Y46" s="10"/>
      <c r="Z46" s="10"/>
      <c r="AA46" s="10"/>
      <c r="AB46" s="10"/>
    </row>
    <row r="47" spans="2:28" s="3" customFormat="1" x14ac:dyDescent="0.25">
      <c r="B47" s="3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v>349</v>
      </c>
      <c r="W47" s="10"/>
      <c r="X47" s="10"/>
      <c r="Y47" s="10"/>
      <c r="Z47" s="10"/>
      <c r="AA47" s="10"/>
      <c r="AB47" s="10"/>
    </row>
    <row r="48" spans="2:28" s="3" customFormat="1" x14ac:dyDescent="0.25">
      <c r="B48" s="3" t="s">
        <v>60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v>1816</v>
      </c>
      <c r="W48" s="10"/>
      <c r="X48" s="10"/>
      <c r="Y48" s="10"/>
      <c r="Z48" s="10"/>
      <c r="AA48" s="10"/>
      <c r="AB48" s="10"/>
    </row>
    <row r="49" spans="2:42" s="3" customFormat="1" x14ac:dyDescent="0.25">
      <c r="B49" s="3" t="s">
        <v>59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>
        <v>57568</v>
      </c>
      <c r="W49" s="10"/>
      <c r="X49" s="10"/>
      <c r="Y49" s="10"/>
      <c r="Z49" s="10"/>
      <c r="AA49" s="10"/>
      <c r="AB49" s="10"/>
    </row>
    <row r="50" spans="2:42" s="3" customFormat="1" x14ac:dyDescent="0.25">
      <c r="B50" s="3" t="s">
        <v>58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f>SUM(V41:V49)</f>
        <v>69226</v>
      </c>
      <c r="W50" s="10"/>
      <c r="X50" s="10"/>
      <c r="Y50" s="10"/>
      <c r="Z50" s="10"/>
      <c r="AA50" s="10"/>
      <c r="AB50" s="10"/>
    </row>
    <row r="51" spans="2:42" s="3" customFormat="1" x14ac:dyDescent="0.2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42" s="3" customFormat="1" x14ac:dyDescent="0.25">
      <c r="B52" s="3" t="s">
        <v>91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J52" s="3">
        <v>34</v>
      </c>
      <c r="AK52" s="3">
        <v>493</v>
      </c>
      <c r="AL52" s="3">
        <v>1071</v>
      </c>
      <c r="AM52" s="3">
        <v>3521</v>
      </c>
      <c r="AN52" s="3">
        <v>3565</v>
      </c>
      <c r="AO52" s="3">
        <v>1667</v>
      </c>
      <c r="AP52" s="3">
        <v>3041</v>
      </c>
    </row>
    <row r="53" spans="2:42" s="3" customFormat="1" x14ac:dyDescent="0.25">
      <c r="B53" s="3" t="s">
        <v>92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J53" s="3">
        <v>163</v>
      </c>
      <c r="AK53" s="3">
        <v>149</v>
      </c>
      <c r="AL53" s="3">
        <v>294</v>
      </c>
      <c r="AM53" s="3">
        <v>301</v>
      </c>
      <c r="AN53" s="3">
        <v>450</v>
      </c>
      <c r="AO53" s="3">
        <v>546</v>
      </c>
      <c r="AP53" s="3">
        <v>636</v>
      </c>
    </row>
    <row r="54" spans="2:42" s="3" customFormat="1" x14ac:dyDescent="0.25">
      <c r="B54" s="3" t="s">
        <v>93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J54" s="3">
        <f t="shared" ref="AJ54:AN54" si="34">+AJ52-AJ53</f>
        <v>-129</v>
      </c>
      <c r="AK54" s="3">
        <f t="shared" si="34"/>
        <v>344</v>
      </c>
      <c r="AL54" s="3">
        <f t="shared" si="34"/>
        <v>777</v>
      </c>
      <c r="AM54" s="3">
        <f t="shared" si="34"/>
        <v>3220</v>
      </c>
      <c r="AN54" s="3">
        <f t="shared" si="34"/>
        <v>3115</v>
      </c>
      <c r="AO54" s="3">
        <f>+AO52-AO53</f>
        <v>1121</v>
      </c>
      <c r="AP54" s="3">
        <f>+AP52-AP53</f>
        <v>2405</v>
      </c>
    </row>
  </sheetData>
  <hyperlinks>
    <hyperlink ref="A1" location="Main!A1" display="Main" xr:uid="{AE73617B-F45B-445A-BDA8-AE857C9E0C1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2023-02-01T15:38:38Z</dcterms:created>
  <dcterms:modified xsi:type="dcterms:W3CDTF">2025-08-13T13:29:31Z</dcterms:modified>
</cp:coreProperties>
</file>