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showInkAnnotation="0" defaultThemeVersion="166925"/>
  <xr:revisionPtr revIDLastSave="0" documentId="13_ncr:1_{9C41FABF-ADB8-45B5-B3E1-31589D2ADE1D}" xr6:coauthVersionLast="47" xr6:coauthVersionMax="47" xr10:uidLastSave="{00000000-0000-0000-0000-000000000000}"/>
  <bookViews>
    <workbookView xWindow="40330" yWindow="2330" windowWidth="26400" windowHeight="18030" firstSheet="2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0" i="16" l="1"/>
  <c r="AL40" i="16"/>
  <c r="AK40" i="16"/>
  <c r="AJ40" i="16"/>
  <c r="AI40" i="16"/>
  <c r="AH40" i="16"/>
  <c r="AK4" i="16"/>
  <c r="AJ4" i="16"/>
  <c r="AI4" i="16"/>
  <c r="AH4" i="16"/>
  <c r="AG4" i="16"/>
  <c r="AF4" i="16"/>
  <c r="AF7" i="16" s="1"/>
  <c r="AE4" i="16"/>
  <c r="AE7" i="16" s="1"/>
  <c r="AD4" i="16"/>
  <c r="AC4" i="16"/>
  <c r="AB4" i="16"/>
  <c r="AA4" i="16"/>
  <c r="Z4" i="16"/>
  <c r="Y4" i="16"/>
  <c r="Y7" i="16" s="1"/>
  <c r="X4" i="16"/>
  <c r="X7" i="16" s="1"/>
  <c r="W4" i="16"/>
  <c r="W7" i="16" s="1"/>
  <c r="V4" i="16"/>
  <c r="V7" i="16" s="1"/>
  <c r="U4" i="16"/>
  <c r="U7" i="16" s="1"/>
  <c r="T4" i="16"/>
  <c r="T7" i="16" s="1"/>
  <c r="S4" i="16"/>
  <c r="S7" i="16" s="1"/>
  <c r="R4" i="16"/>
  <c r="R7" i="16" s="1"/>
  <c r="Q4" i="16"/>
  <c r="Q7" i="16" s="1"/>
  <c r="P4" i="16"/>
  <c r="P7" i="16" s="1"/>
  <c r="O4" i="16"/>
  <c r="O7" i="16" s="1"/>
  <c r="N4" i="16"/>
  <c r="N7" i="16" s="1"/>
  <c r="M4" i="16"/>
  <c r="M7" i="16" s="1"/>
  <c r="L4" i="16"/>
  <c r="L7" i="16" s="1"/>
  <c r="K4" i="16"/>
  <c r="K7" i="16" s="1"/>
  <c r="J4" i="16"/>
  <c r="J7" i="16" s="1"/>
  <c r="I4" i="16"/>
  <c r="I7" i="16" s="1"/>
  <c r="H4" i="16"/>
  <c r="H7" i="16" s="1"/>
  <c r="G4" i="16"/>
  <c r="G7" i="16" s="1"/>
  <c r="F4" i="16"/>
  <c r="F7" i="16" s="1"/>
  <c r="E4" i="16"/>
  <c r="D4" i="16"/>
  <c r="C4" i="16"/>
  <c r="C7" i="16" s="1"/>
  <c r="AL4" i="16"/>
  <c r="AL45" i="16"/>
  <c r="AK45" i="16"/>
  <c r="AJ45" i="16"/>
  <c r="AI45" i="16"/>
  <c r="AL39" i="16"/>
  <c r="AK39" i="16"/>
  <c r="AJ39" i="16"/>
  <c r="AI39" i="16"/>
  <c r="AH39" i="16"/>
  <c r="AL15" i="16"/>
  <c r="AK15" i="16"/>
  <c r="AJ15" i="16"/>
  <c r="AI15" i="16"/>
  <c r="AH15" i="16"/>
  <c r="AH10" i="16"/>
  <c r="AK9" i="16"/>
  <c r="AJ9" i="16"/>
  <c r="AI9" i="16"/>
  <c r="AH9" i="16"/>
  <c r="AH3" i="16"/>
  <c r="AI3" i="16" s="1"/>
  <c r="AJ3" i="16" s="1"/>
  <c r="AK3" i="16" s="1"/>
  <c r="AL3" i="16" s="1"/>
  <c r="AG7" i="16"/>
  <c r="AD7" i="16"/>
  <c r="AC7" i="16"/>
  <c r="AB7" i="16"/>
  <c r="AA7" i="16"/>
  <c r="Z7" i="16"/>
  <c r="E7" i="16"/>
  <c r="D7" i="16"/>
  <c r="J3" i="16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V3" i="16" s="1"/>
  <c r="W3" i="16" s="1"/>
  <c r="X3" i="16" s="1"/>
  <c r="Y3" i="16" s="1"/>
  <c r="Z3" i="16" s="1"/>
  <c r="AA3" i="16" s="1"/>
  <c r="AB3" i="16" s="1"/>
  <c r="AC3" i="16" s="1"/>
  <c r="AD3" i="16" s="1"/>
  <c r="AE3" i="16" s="1"/>
  <c r="AF3" i="16" s="1"/>
  <c r="AG3" i="16" s="1"/>
  <c r="I3" i="16"/>
  <c r="H3" i="16"/>
  <c r="G3" i="16"/>
  <c r="F3" i="16"/>
  <c r="E3" i="16"/>
  <c r="D3" i="16"/>
  <c r="G36" i="16"/>
  <c r="F36" i="16"/>
  <c r="E36" i="16"/>
  <c r="D36" i="16"/>
  <c r="C36" i="16"/>
  <c r="F32" i="16"/>
  <c r="E32" i="16"/>
  <c r="D32" i="16"/>
  <c r="E65" i="16"/>
  <c r="D65" i="16"/>
  <c r="A31" i="16"/>
  <c r="A30" i="16"/>
  <c r="D14" i="16"/>
  <c r="AH35" i="16"/>
  <c r="AI35" i="16" s="1"/>
  <c r="AJ35" i="16" s="1"/>
  <c r="AK35" i="16" s="1"/>
  <c r="AL35" i="16" s="1"/>
  <c r="AH34" i="16"/>
  <c r="AI34" i="16" s="1"/>
  <c r="AJ34" i="16" s="1"/>
  <c r="AK34" i="16" s="1"/>
  <c r="AL34" i="16" s="1"/>
  <c r="M20" i="16"/>
  <c r="N20" i="16" s="1"/>
  <c r="O20" i="16" s="1"/>
  <c r="P20" i="16" s="1"/>
  <c r="Q20" i="16" s="1"/>
  <c r="R20" i="16" s="1"/>
  <c r="S20" i="16" s="1"/>
  <c r="L2" i="16"/>
  <c r="K2" i="16" s="1"/>
  <c r="J2" i="16" s="1"/>
  <c r="I2" i="16" s="1"/>
  <c r="H2" i="16" s="1"/>
  <c r="G2" i="16" s="1"/>
  <c r="F2" i="16" s="1"/>
  <c r="E2" i="16" s="1"/>
  <c r="D2" i="16" s="1"/>
  <c r="C2" i="16" s="1"/>
  <c r="AH12" i="16"/>
  <c r="AI12" i="16" s="1"/>
  <c r="AJ12" i="16" s="1"/>
  <c r="AK12" i="16" s="1"/>
  <c r="AL12" i="16" s="1"/>
  <c r="AD11" i="16"/>
  <c r="AE11" i="16"/>
  <c r="AF11" i="16"/>
  <c r="AA10" i="16"/>
  <c r="AB10" i="16"/>
  <c r="AC10" i="16"/>
  <c r="AD9" i="16"/>
  <c r="AC9" i="16"/>
  <c r="AD10" i="16"/>
  <c r="AE10" i="16"/>
  <c r="AH31" i="16"/>
  <c r="AI31" i="16" s="1"/>
  <c r="AJ31" i="16" s="1"/>
  <c r="AK31" i="16" s="1"/>
  <c r="AL31" i="16" s="1"/>
  <c r="AH29" i="16"/>
  <c r="AI29" i="16" s="1"/>
  <c r="AJ29" i="16" s="1"/>
  <c r="AK29" i="16" s="1"/>
  <c r="AL29" i="16" s="1"/>
  <c r="AH28" i="16"/>
  <c r="AI28" i="16" s="1"/>
  <c r="AJ28" i="16" s="1"/>
  <c r="AK28" i="16" s="1"/>
  <c r="AL28" i="16" s="1"/>
  <c r="AH27" i="16"/>
  <c r="AI27" i="16" s="1"/>
  <c r="AJ27" i="16" s="1"/>
  <c r="AK27" i="16" s="1"/>
  <c r="AL27" i="16" s="1"/>
  <c r="AH26" i="16"/>
  <c r="AI26" i="16" s="1"/>
  <c r="AJ26" i="16" s="1"/>
  <c r="AK26" i="16" s="1"/>
  <c r="AL26" i="16" s="1"/>
  <c r="AH25" i="16"/>
  <c r="AI25" i="16" s="1"/>
  <c r="AJ25" i="16" s="1"/>
  <c r="AK25" i="16" s="1"/>
  <c r="AL25" i="16" s="1"/>
  <c r="AH24" i="16"/>
  <c r="AI24" i="16" s="1"/>
  <c r="AJ24" i="16" s="1"/>
  <c r="AK24" i="16" s="1"/>
  <c r="AL24" i="16" s="1"/>
  <c r="AH23" i="16"/>
  <c r="AI23" i="16" s="1"/>
  <c r="AJ23" i="16" s="1"/>
  <c r="AK23" i="16" s="1"/>
  <c r="AL23" i="16" s="1"/>
  <c r="AH22" i="16"/>
  <c r="AI22" i="16" s="1"/>
  <c r="AJ22" i="16" s="1"/>
  <c r="AK22" i="16" s="1"/>
  <c r="AL22" i="16" s="1"/>
  <c r="AH21" i="16"/>
  <c r="AI21" i="16" s="1"/>
  <c r="AJ21" i="16" s="1"/>
  <c r="AK21" i="16" s="1"/>
  <c r="AL21" i="16" s="1"/>
  <c r="AH19" i="16"/>
  <c r="AI19" i="16" s="1"/>
  <c r="AJ19" i="16" s="1"/>
  <c r="AK19" i="16" s="1"/>
  <c r="AL19" i="16" s="1"/>
  <c r="AH18" i="16"/>
  <c r="AI18" i="16" s="1"/>
  <c r="AJ18" i="16" s="1"/>
  <c r="AK18" i="16" s="1"/>
  <c r="AL18" i="16" s="1"/>
  <c r="AH16" i="16"/>
  <c r="AI16" i="16" s="1"/>
  <c r="AJ16" i="16" s="1"/>
  <c r="AK16" i="16" s="1"/>
  <c r="AL16" i="16" s="1"/>
  <c r="AE9" i="16"/>
  <c r="AF9" i="16"/>
  <c r="AG9" i="16" s="1"/>
  <c r="AL9" i="16" s="1"/>
  <c r="AG10" i="16"/>
  <c r="AI10" i="16" s="1"/>
  <c r="AJ10" i="16" s="1"/>
  <c r="AK10" i="16" s="1"/>
  <c r="AL10" i="16" s="1"/>
  <c r="AF10" i="16"/>
  <c r="N16" i="16"/>
  <c r="O16" i="16" s="1"/>
  <c r="P16" i="16" s="1"/>
  <c r="Y86" i="16"/>
  <c r="X86" i="16" s="1"/>
  <c r="T88" i="16"/>
  <c r="S88" i="16" s="1"/>
  <c r="R88" i="16" s="1"/>
  <c r="Q88" i="16" s="1"/>
  <c r="P88" i="16" s="1"/>
  <c r="O88" i="16" s="1"/>
  <c r="N88" i="16" s="1"/>
  <c r="AG88" i="16"/>
  <c r="A10" i="16"/>
  <c r="A11" i="16" s="1"/>
  <c r="U25" i="16"/>
  <c r="V25" i="16" s="1"/>
  <c r="W25" i="16" s="1"/>
  <c r="X25" i="16" s="1"/>
  <c r="Y25" i="16" s="1"/>
  <c r="Z25" i="16" s="1"/>
  <c r="AA25" i="16" s="1"/>
  <c r="AB25" i="16" s="1"/>
  <c r="AF17" i="16"/>
  <c r="AG17" i="16" s="1"/>
  <c r="AH17" i="16" s="1"/>
  <c r="AI17" i="16" s="1"/>
  <c r="AJ17" i="16" s="1"/>
  <c r="AK17" i="16" s="1"/>
  <c r="AL17" i="16" s="1"/>
  <c r="U20" i="16"/>
  <c r="V20" i="16" s="1"/>
  <c r="W20" i="16" s="1"/>
  <c r="X20" i="16" s="1"/>
  <c r="Y20" i="16" s="1"/>
  <c r="AA20" i="16"/>
  <c r="AB20" i="16" s="1"/>
  <c r="AC20" i="16" s="1"/>
  <c r="AD20" i="16" s="1"/>
  <c r="AE20" i="16" s="1"/>
  <c r="AF20" i="16" s="1"/>
  <c r="AG20" i="16" s="1"/>
  <c r="AH20" i="16" s="1"/>
  <c r="AI20" i="16" s="1"/>
  <c r="AJ20" i="16" s="1"/>
  <c r="AK20" i="16" s="1"/>
  <c r="AL20" i="16" s="1"/>
  <c r="AG29" i="16"/>
  <c r="S14" i="16"/>
  <c r="T14" i="16" s="1"/>
  <c r="Q14" i="16"/>
  <c r="N14" i="16"/>
  <c r="O14" i="16" s="1"/>
  <c r="AG14" i="16"/>
  <c r="AH14" i="16" s="1"/>
  <c r="AI14" i="16" s="1"/>
  <c r="AJ14" i="16" s="1"/>
  <c r="AK14" i="16" s="1"/>
  <c r="AL14" i="16" s="1"/>
  <c r="AG11" i="16"/>
  <c r="AH11" i="16" s="1"/>
  <c r="AI11" i="16" s="1"/>
  <c r="AJ11" i="16" s="1"/>
  <c r="AK11" i="16" s="1"/>
  <c r="AL11" i="16" s="1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F13" i="16"/>
  <c r="AE13" i="16"/>
  <c r="AD13" i="16"/>
  <c r="AF2" i="16"/>
  <c r="AG2" i="16" s="1"/>
  <c r="AH2" i="16" s="1"/>
  <c r="AI2" i="16" s="1"/>
  <c r="AJ2" i="16" s="1"/>
  <c r="AK2" i="16" s="1"/>
  <c r="AL2" i="16" s="1"/>
  <c r="K5" i="1"/>
  <c r="L5" i="1"/>
  <c r="G5" i="16" l="1"/>
  <c r="H5" i="16"/>
  <c r="C14" i="16"/>
  <c r="D5" i="16" s="1"/>
  <c r="M5" i="16"/>
  <c r="L5" i="16"/>
  <c r="I5" i="16"/>
  <c r="J5" i="16"/>
  <c r="K5" i="16"/>
  <c r="A86" i="16"/>
  <c r="A87" i="16" s="1"/>
  <c r="A88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G13" i="16"/>
  <c r="F11" i="9"/>
  <c r="G11" i="9" s="1"/>
  <c r="E11" i="9"/>
  <c r="H11" i="9"/>
  <c r="F5" i="16" l="1"/>
  <c r="E5" i="16"/>
  <c r="AG5" i="16"/>
  <c r="AH13" i="16"/>
  <c r="A32" i="16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F5" i="16"/>
  <c r="G11" i="8"/>
  <c r="G10" i="8"/>
  <c r="AI13" i="16" l="1"/>
  <c r="Q5" i="16"/>
  <c r="N5" i="16"/>
  <c r="H4" i="5"/>
  <c r="E4" i="5" s="1"/>
  <c r="AH5" i="16" l="1"/>
  <c r="AH7" i="16"/>
  <c r="AJ13" i="16"/>
  <c r="O5" i="16"/>
  <c r="P5" i="16"/>
  <c r="H3" i="7"/>
  <c r="E3" i="7" s="1"/>
  <c r="AI5" i="16" l="1"/>
  <c r="AI7" i="16"/>
  <c r="AK13" i="16"/>
  <c r="E13" i="7"/>
  <c r="G13" i="7" s="1"/>
  <c r="T13" i="7" s="1"/>
  <c r="F4" i="7"/>
  <c r="G4" i="7" s="1"/>
  <c r="H4" i="7"/>
  <c r="E7" i="7"/>
  <c r="G7" i="7" s="1"/>
  <c r="T7" i="7" s="1"/>
  <c r="E12" i="7"/>
  <c r="G12" i="7" s="1"/>
  <c r="T12" i="7" s="1"/>
  <c r="E11" i="7"/>
  <c r="G11" i="7" s="1"/>
  <c r="T11" i="7" s="1"/>
  <c r="E8" i="7"/>
  <c r="G8" i="7" s="1"/>
  <c r="S8" i="7" s="1"/>
  <c r="E9" i="7"/>
  <c r="G9" i="7" s="1"/>
  <c r="T9" i="7" s="1"/>
  <c r="AJ5" i="16" l="1"/>
  <c r="AJ7" i="16"/>
  <c r="AL13" i="16"/>
  <c r="AL7" i="16" s="1"/>
  <c r="T4" i="7"/>
  <c r="S4" i="7"/>
  <c r="T8" i="7"/>
  <c r="S7" i="7"/>
  <c r="S9" i="7"/>
  <c r="S11" i="7"/>
  <c r="S12" i="7"/>
  <c r="S13" i="7"/>
  <c r="G10" i="4"/>
  <c r="G5" i="4"/>
  <c r="AD5" i="4" s="1"/>
  <c r="G7" i="4"/>
  <c r="AD7" i="4" s="1"/>
  <c r="G4" i="4"/>
  <c r="AD4" i="4" s="1"/>
  <c r="F6" i="4"/>
  <c r="H6" i="4"/>
  <c r="E6" i="4" s="1"/>
  <c r="F16" i="4"/>
  <c r="H16" i="4"/>
  <c r="E16" i="4" s="1"/>
  <c r="AK5" i="16" l="1"/>
  <c r="AK7" i="16"/>
  <c r="AL5" i="16"/>
  <c r="G16" i="4"/>
  <c r="G6" i="4"/>
  <c r="AB7" i="4"/>
  <c r="AC7" i="4"/>
  <c r="AB4" i="4"/>
  <c r="AC4" i="4"/>
  <c r="AB5" i="4"/>
  <c r="AC5" i="4"/>
  <c r="AC6" i="4"/>
  <c r="AB6" i="4"/>
  <c r="AD6" i="4"/>
  <c r="AD16" i="4"/>
  <c r="AB16" i="4" l="1"/>
  <c r="AC16" i="4"/>
  <c r="F16" i="8"/>
  <c r="H16" i="8"/>
  <c r="E16" i="8" s="1"/>
  <c r="G16" i="8" l="1"/>
  <c r="E8" i="1"/>
  <c r="E7" i="1"/>
  <c r="F11" i="4"/>
  <c r="H11" i="4"/>
  <c r="E11" i="4" s="1"/>
  <c r="F17" i="10"/>
  <c r="G11" i="4" l="1"/>
  <c r="H17" i="10"/>
  <c r="E17" i="10" s="1"/>
  <c r="G17" i="10" s="1"/>
  <c r="AD11" i="4" l="1"/>
  <c r="AC11" i="4"/>
  <c r="AB11" i="4"/>
  <c r="F46" i="10"/>
  <c r="H46" i="10"/>
  <c r="E46" i="10" s="1"/>
  <c r="G46" i="10" l="1"/>
  <c r="F14" i="5" l="1"/>
  <c r="H14" i="5"/>
  <c r="E14" i="5" s="1"/>
  <c r="G14" i="5" l="1"/>
  <c r="F9" i="4"/>
  <c r="H9" i="4"/>
  <c r="E9" i="4" s="1"/>
  <c r="G9" i="4" l="1"/>
  <c r="H5" i="10"/>
  <c r="E5" i="10" s="1"/>
  <c r="AD9" i="4" l="1"/>
  <c r="AC9" i="4"/>
  <c r="AB9" i="4"/>
  <c r="F10" i="1"/>
  <c r="G10" i="1" s="1"/>
  <c r="H10" i="1"/>
  <c r="F6" i="7"/>
  <c r="H6" i="7"/>
  <c r="E6" i="7" s="1"/>
  <c r="Y11" i="1"/>
  <c r="Y10" i="1"/>
  <c r="Y9" i="1"/>
  <c r="Y5" i="1"/>
  <c r="Y4" i="1"/>
  <c r="Y6" i="1"/>
  <c r="H6" i="10"/>
  <c r="E6" i="10" s="1"/>
  <c r="G6" i="7" l="1"/>
  <c r="F5" i="5"/>
  <c r="H5" i="5"/>
  <c r="E5" i="5" s="1"/>
  <c r="H75" i="10"/>
  <c r="T6" i="7" l="1"/>
  <c r="S6" i="7"/>
  <c r="G5" i="5"/>
  <c r="F67" i="10"/>
  <c r="H67" i="10"/>
  <c r="E67" i="10" s="1"/>
  <c r="F66" i="10"/>
  <c r="G67" i="10" l="1"/>
  <c r="F6" i="1"/>
  <c r="H6" i="1"/>
  <c r="E6" i="1" s="1"/>
  <c r="G6" i="1" l="1"/>
  <c r="F25" i="8"/>
  <c r="H25" i="8"/>
  <c r="E25" i="8" s="1"/>
  <c r="G25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7" i="5"/>
  <c r="H37" i="5"/>
  <c r="E37" i="5" s="1"/>
  <c r="G37" i="5" l="1"/>
  <c r="F21" i="10"/>
  <c r="H21" i="10"/>
  <c r="E21" i="10" s="1"/>
  <c r="G21" i="10" l="1"/>
  <c r="F3" i="7"/>
  <c r="G3" i="7" s="1"/>
  <c r="S3" i="7" l="1"/>
  <c r="T3" i="7"/>
  <c r="F17" i="9"/>
  <c r="H17" i="9"/>
  <c r="E17" i="9" s="1"/>
  <c r="G17" i="9" l="1"/>
  <c r="H66" i="10"/>
  <c r="E66" i="10" s="1"/>
  <c r="G66" i="10" s="1"/>
  <c r="F11" i="18" l="1"/>
  <c r="H11" i="18"/>
  <c r="E11" i="18" s="1"/>
  <c r="G11" i="18" l="1"/>
  <c r="F45" i="10"/>
  <c r="H45" i="10"/>
  <c r="E45" i="10" s="1"/>
  <c r="G45" i="10" l="1"/>
  <c r="E11" i="1" l="1"/>
  <c r="H9" i="10" l="1"/>
  <c r="F8" i="4" l="1"/>
  <c r="H8" i="4"/>
  <c r="E8" i="4" s="1"/>
  <c r="F43" i="10"/>
  <c r="H43" i="10"/>
  <c r="E43" i="10" s="1"/>
  <c r="G8" i="4" l="1"/>
  <c r="G43" i="10"/>
  <c r="AD8" i="4" l="1"/>
  <c r="AD3" i="4" s="1"/>
  <c r="AC8" i="4"/>
  <c r="AC3" i="4" s="1"/>
  <c r="AB8" i="4"/>
  <c r="AB3" i="4" s="1"/>
  <c r="F44" i="10"/>
  <c r="H44" i="10"/>
  <c r="E44" i="10" s="1"/>
  <c r="G44" i="10" l="1"/>
  <c r="H7" i="5" l="1"/>
  <c r="E7" i="5" s="1"/>
  <c r="H6" i="5"/>
  <c r="E6" i="5" s="1"/>
  <c r="F14" i="7" l="1"/>
  <c r="H14" i="7"/>
  <c r="E14" i="7" s="1"/>
  <c r="G14" i="7" l="1"/>
  <c r="F35" i="5"/>
  <c r="H35" i="5"/>
  <c r="E35" i="5" s="1"/>
  <c r="T14" i="7" l="1"/>
  <c r="S14" i="7"/>
  <c r="G35" i="5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7" i="10"/>
  <c r="H47" i="10"/>
  <c r="E47" i="10" s="1"/>
  <c r="H5" i="1"/>
  <c r="F5" i="1"/>
  <c r="G47" i="10" l="1"/>
  <c r="G31" i="1"/>
  <c r="F6" i="10" l="1"/>
  <c r="E15" i="1" l="1"/>
  <c r="F8" i="11"/>
  <c r="H8" i="11"/>
  <c r="E8" i="11" s="1"/>
  <c r="F8" i="10"/>
  <c r="H8" i="10"/>
  <c r="E8" i="10" s="1"/>
  <c r="G8" i="11" l="1"/>
  <c r="G8" i="10"/>
  <c r="G6" i="10"/>
  <c r="G8" i="8"/>
  <c r="G30" i="8"/>
  <c r="Z30" i="8" s="1"/>
  <c r="F10" i="7" l="1"/>
  <c r="H10" i="7"/>
  <c r="E10" i="7" s="1"/>
  <c r="G10" i="7" l="1"/>
  <c r="R5" i="16"/>
  <c r="U5" i="16" l="1"/>
  <c r="T5" i="16"/>
  <c r="W5" i="16"/>
  <c r="Z5" i="16"/>
  <c r="AC5" i="16"/>
  <c r="V5" i="16"/>
  <c r="S5" i="16"/>
  <c r="AB5" i="16"/>
  <c r="AA5" i="16"/>
  <c r="Y5" i="16"/>
  <c r="X5" i="16"/>
  <c r="T10" i="7"/>
  <c r="S10" i="7"/>
  <c r="F9" i="1"/>
  <c r="W5" i="1" l="1"/>
  <c r="V5" i="1"/>
  <c r="U5" i="1"/>
  <c r="T5" i="1"/>
  <c r="O5" i="1"/>
  <c r="N5" i="1"/>
  <c r="M5" i="1"/>
  <c r="AD5" i="16" l="1"/>
  <c r="AE5" i="16"/>
  <c r="S2" i="16"/>
  <c r="T2" i="16" s="1"/>
  <c r="U2" i="16" s="1"/>
  <c r="V2" i="16" s="1"/>
  <c r="W2" i="16" s="1"/>
  <c r="X2" i="16" s="1"/>
  <c r="Y2" i="16" s="1"/>
  <c r="Z2" i="16" s="1"/>
  <c r="AA2" i="16" s="1"/>
  <c r="AB2" i="16" s="1"/>
  <c r="AC2" i="16" s="1"/>
  <c r="AD2" i="16" s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1" i="5"/>
  <c r="H11" i="5"/>
  <c r="E11" i="5" s="1"/>
  <c r="G11" i="5" l="1"/>
  <c r="H3" i="5"/>
  <c r="E3" i="5" s="1"/>
  <c r="F34" i="5" l="1"/>
  <c r="H34" i="5"/>
  <c r="E34" i="5" s="1"/>
  <c r="G34" i="5" l="1"/>
  <c r="F8" i="9"/>
  <c r="H8" i="9"/>
  <c r="E8" i="9" s="1"/>
  <c r="G8" i="9" l="1"/>
  <c r="Z8" i="9" s="1"/>
  <c r="H7" i="10"/>
  <c r="N7" i="10"/>
  <c r="M7" i="10"/>
  <c r="K7" i="10"/>
  <c r="L7" i="10" s="1"/>
  <c r="W4" i="1"/>
  <c r="V4" i="1"/>
  <c r="U4" i="1"/>
  <c r="T4" i="1"/>
  <c r="G7" i="9" l="1"/>
  <c r="H4" i="10"/>
  <c r="E3" i="9" l="1"/>
  <c r="F3" i="9"/>
  <c r="F5" i="7" l="1"/>
  <c r="H5" i="7"/>
  <c r="E5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4" i="8"/>
  <c r="E24" i="8"/>
  <c r="G3" i="10" l="1"/>
  <c r="S3" i="10" s="1"/>
  <c r="G5" i="7"/>
  <c r="G24" i="8"/>
  <c r="T5" i="7" l="1"/>
  <c r="S5" i="7"/>
  <c r="Q3" i="10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3" i="10"/>
  <c r="H13" i="10"/>
  <c r="E13" i="10" s="1"/>
  <c r="F18" i="10"/>
  <c r="H18" i="10"/>
  <c r="E18" i="10" s="1"/>
  <c r="G18" i="10" l="1"/>
  <c r="G13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9" i="10"/>
  <c r="E9" i="10"/>
  <c r="F5" i="10"/>
  <c r="F7" i="10"/>
  <c r="E7" i="10"/>
  <c r="F4" i="10"/>
  <c r="E4" i="10"/>
  <c r="G7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6" i="5" l="1" a="1"/>
  <c r="F6" i="5" s="1"/>
  <c r="F4" i="5"/>
  <c r="H9" i="1"/>
  <c r="E9" i="1" s="1"/>
  <c r="G9" i="1" s="1"/>
  <c r="E9" i="8" a="1"/>
  <c r="E9" i="8" s="1"/>
  <c r="G9" i="8" s="1"/>
  <c r="F4" i="8"/>
  <c r="E4" i="8"/>
  <c r="H3" i="8"/>
  <c r="F3" i="8"/>
  <c r="E3" i="8"/>
  <c r="G6" i="5" l="1"/>
  <c r="G4" i="5"/>
  <c r="G4" i="8"/>
  <c r="G3" i="8"/>
  <c r="H11" i="1" l="1"/>
  <c r="F11" i="1"/>
  <c r="O4" i="1"/>
  <c r="N4" i="1"/>
  <c r="M4" i="1"/>
  <c r="H4" i="1"/>
  <c r="G11" i="1" l="1"/>
  <c r="L2" i="1"/>
  <c r="F3" i="5" l="1"/>
  <c r="G3" i="5" s="1"/>
  <c r="F7" i="5" a="1"/>
  <c r="F7" i="5" s="1"/>
  <c r="G7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6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<sst xmlns="http://schemas.openxmlformats.org/spreadsheetml/2006/main" count="1320" uniqueCount="773">
  <si>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</si>
  <si>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</si>
  <si>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</si>
  <si>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</si>
  <si>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</si>
  <si>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</si>
  <si>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</si>
  <si>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</si>
  <si>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</si>
  <si>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</si>
  <si>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</si>
  <si>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</si>
  <si>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</si>
  <si>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</si>
  <si>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</si>
  <si>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</si>
  <si>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</si>
  <si>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</si>
  <si>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</si>
  <si>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</si>
  <si>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</si>
  <si>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</si>
  <si>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</si>
  <si>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</si>
  <si>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</si>
  <si>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</si>
  <si>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</si>
  <si>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</si>
  <si>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</si>
  <si>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</si>
  <si>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</si>
  <si>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</si>
  <si>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</si>
  <si>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</si>
  <si>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</si>
  <si>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</si>
  <si>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</si>
  <si>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</si>
  <si>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</si>
  <si>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</si>
  <si>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</si>
  <si>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</si>
  <si>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</si>
  <si>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</si>
  <si>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</si>
  <si>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</si>
  <si>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</si>
  <si>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</si>
  <si>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</si>
  <si>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</si>
  <si>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</si>
  <si>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</si>
  <si>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</si>
  <si>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</si>
  <si>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</si>
  <si>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</si>
  <si>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</si>
  <si>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</si>
  <si>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</si>
  <si>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</si>
  <si>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</si>
  <si>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</si>
  <si>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</si>
  <si>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</si>
  <si>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</si>
  <si>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</si>
  <si>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</si>
  <si>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</si>
  <si>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</si>
  <si>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</si>
  <si>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</si>
  <si>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</si>
  <si>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</si>
  <si>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</si>
  <si>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</si>
  <si>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</si>
  <si>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</si>
  <si>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</si>
  <si>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</si>
  <si>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</si>
  <si>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</si>
  <si>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</si>
  <si>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</si>
  <si>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</si>
  <si>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</si>
  <si>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</si>
  <si>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</si>
  <si>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</si>
  <si>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</si>
  <si>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</si>
  <si>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</si>
  <si>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</si>
  <si>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</si>
  <si>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</si>
  <si>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</si>
  <si>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</si>
  <si>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</si>
  <si>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</si>
  <si>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</si>
  <si>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</si>
  <si>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</si>
  <si>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</si>
  <si>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</si>
  <si>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</si>
  <si>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</si>
  <si>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</si>
  <si>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</si>
  <si>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</si>
  <si>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</si>
  <si>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</si>
  <si>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</si>
  <si>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</si>
  <si>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</si>
  <si>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</si>
  <si>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</si>
  <si>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</si>
  <si>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</si>
  <si>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</si>
  <si>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</si>
  <si>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</si>
  <si>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</si>
  <si>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</si>
  <si>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</si>
  <si>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</si>
  <si>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</si>
  <si>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</si>
  <si>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</si>
  <si>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</si>
  <si>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</si>
  <si>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</si>
  <si>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</si>
  <si>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</si>
  <si>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</si>
  <si>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</si>
  <si>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</si>
  <si>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</si>
  <si>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</si>
  <si>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</si>
  <si>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</si>
  <si>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</si>
  <si>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</si>
  <si>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</si>
  <si>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</si>
  <si>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</si>
  <si>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</si>
  <si>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</si>
  <si>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</si>
  <si>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</si>
  <si>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</si>
  <si>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</si>
  <si>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</si>
  <si>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</si>
  <si>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</si>
  <si>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</si>
  <si>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</si>
  <si>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</si>
  <si>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</si>
  <si>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</si>
  <si>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</si>
  <si>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</si>
  <si>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</si>
  <si>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</si>
  <si>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</si>
  <si>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</si>
  <si>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</si>
  <si>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</si>
  <si>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</si>
  <si>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</si>
  <si>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</si>
  <si>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</si>
  <si>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</si>
  <si>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</si>
  <si>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</si>
  <si>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</si>
  <si>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</si>
  <si>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</si>
  <si>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</si>
  <si>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</si>
  <si>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</si>
  <si>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</si>
  <si>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</si>
  <si>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</si>
  <si>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</si>
  <si>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</si>
  <si>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</si>
  <si>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</si>
  <si>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</si>
  <si>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</si>
  <si>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</si>
  <si>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</si>
  <si>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</si>
  <si>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</si>
  <si>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</si>
  <si>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</si>
  <si>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</si>
  <si>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</si>
  <si>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</si>
  <si>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</si>
  <si>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</si>
  <si>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</si>
  <si>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</si>
  <si>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</si>
  <si>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</si>
  <si>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</si>
  <si>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</si>
  <si>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</si>
  <si>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</si>
  <si>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</si>
  <si>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</si>
  <si>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</si>
  <si>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</si>
  <si>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</si>
  <si>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</si>
  <si>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</si>
  <si>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</si>
  <si>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</si>
  <si>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</si>
  <si>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</si>
  <si>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</si>
  <si>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</si>
  <si>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</si>
  <si>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</si>
  <si>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</si>
  <si>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</si>
  <si>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</si>
  <si>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</si>
  <si>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</si>
  <si>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</si>
  <si>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</si>
  <si>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</si>
  <si>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</si>
  <si>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</si>
  <si>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</si>
  <si>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</si>
  <si>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</si>
  <si>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</si>
  <si>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</si>
  <si>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</si>
  <si>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</si>
  <si>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</si>
  <si>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</si>
  <si>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</si>
  <si>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</si>
  <si>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</si>
  <si>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</si>
  <si>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</si>
  <si>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</si>
  <si>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</si>
  <si>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</si>
  <si>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</si>
  <si>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</si>
  <si>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</si>
  <si>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</si>
  <si>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</si>
  <si>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</si>
  <si>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</si>
  <si>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</si>
  <si>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</si>
  <si>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</si>
  <si>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</si>
  <si>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</si>
  <si>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</si>
  <si>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</si>
  <si>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</si>
  <si>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</si>
  <si>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</si>
  <si>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</si>
  <si>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</si>
  <si>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</si>
  <si>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</si>
  <si>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</si>
  <si>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</si>
  <si>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</si>
  <si>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</si>
  <si>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</si>
  <si>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</si>
  <si>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</si>
  <si>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</si>
  <si>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</si>
  <si>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</si>
  <si>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</si>
  <si>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</si>
  <si>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</si>
  <si>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</si>
  <si>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</si>
  <si>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</si>
  <si>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</si>
  <si>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</si>
  <si>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</si>
  <si>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</si>
  <si>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</si>
  <si>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</si>
  <si>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</si>
  <si>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</si>
  <si>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</si>
  <si>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</si>
  <si>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</si>
  <si>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</si>
  <si>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</si>
  <si>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</si>
  <si>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</si>
  <si>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</si>
  <si>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</si>
  <si>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</si>
  <si>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</si>
  <si>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</si>
  <si>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</si>
  <si>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</si>
  <si>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</si>
  <si>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</si>
  <si>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</si>
  <si>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</si>
  <si>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</si>
  <si>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</si>
  <si>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</si>
  <si>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</si>
  <si>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</si>
  <si>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</si>
  <si>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</si>
  <si>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</si>
  <si>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</si>
  <si>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</si>
  <si>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</si>
  <si>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</si>
  <si>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</si>
  <si>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</si>
  <si>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</si>
  <si>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</si>
  <si>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</si>
  <si>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</si>
  <si>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</si>
  <si>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</si>
  <si>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</si>
  <si>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</si>
  <si>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</si>
  <si>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</si>
  <si>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</si>
  <si>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</si>
  <si>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</si>
  <si>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</si>
  <si>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</si>
  <si>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</si>
  <si>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</si>
  <si>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</si>
  <si>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</si>
  <si>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</si>
  <si>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</si>
  <si>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</si>
  <si>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</si>
  <si>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</si>
  <si>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</si>
  <si>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</si>
  <si>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</si>
  <si>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</si>
  <si>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</si>
  <si>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</si>
  <si>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</si>
  <si>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</si>
  <si>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</si>
  <si>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</si>
  <si>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</si>
  <si>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</si>
  <si>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</si>
  <si>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</si>
  <si>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</si>
  <si>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</si>
  <si>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</si>
  <si>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</si>
  <si>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</si>
  <si>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</si>
  <si>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</si>
  <si>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</si>
  <si>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</si>
  <si>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</si>
  <si>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</si>
  <si>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</si>
  <si>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</si>
  <si>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</si>
  <si>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</si>
  <si>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</si>
  <si>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</si>
  <si>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</si>
  <si>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</si>
  <si>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</si>
  <si>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</si>
  <si>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</si>
  <si>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</si>
  <si>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</si>
  <si>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</si>
  <si>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</si>
  <si>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</si>
  <si>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</si>
  <si>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</si>
  <si>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</si>
  <si>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</si>
  <si>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</si>
  <si>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</si>
  <si>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</si>
  <si>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</si>
  <si>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</si>
  <si>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</si>
  <si>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</si>
  <si>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</si>
  <si>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</si>
  <si>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</si>
  <si>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</si>
  <si>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</si>
  <si>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</si>
  <si>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</si>
  <si>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</si>
  <si>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</si>
  <si>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</si>
  <si>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</si>
  <si>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</si>
  <si>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</si>
  <si>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</si>
  <si>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</si>
  <si>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</si>
  <si>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</si>
  <si>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</si>
  <si>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</si>
  <si>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</si>
  <si>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</si>
  <si>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</si>
  <si>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</si>
  <si>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</si>
  <si>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</si>
  <si>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</si>
  <si>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</si>
  <si>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</si>
  <si>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</si>
  <si>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</si>
  <si>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</si>
  <si>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</si>
  <si>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</si>
  <si>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</si>
  <si>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</si>
  <si>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</si>
  <si>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</si>
  <si>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</si>
  <si>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</si>
  <si>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</si>
  <si>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</si>
  <si>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</si>
  <si>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</si>
  <si>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</si>
  <si>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</si>
  <si>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</si>
  <si>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</si>
  <si>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</si>
  <si>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</si>
  <si>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</si>
  <si>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</si>
  <si>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</si>
  <si>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</si>
  <si>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</si>
  <si>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</si>
  <si>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</si>
  <si>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</si>
  <si>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</si>
  <si>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</si>
  <si>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</si>
  <si>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</si>
  <si>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</si>
  <si>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</si>
  <si>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</si>
  <si>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</si>
  <si>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</si>
  <si>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</si>
  <si>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</si>
  <si>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</si>
  <si>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</si>
  <si>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</si>
  <si>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</si>
  <si>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</si>
  <si>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</si>
  <si>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</si>
  <si>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</si>
  <si>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</si>
  <si>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</si>
  <si>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</si>
  <si>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</si>
  <si>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</si>
  <si>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</si>
  <si>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</si>
  <si>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</si>
  <si>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</si>
  <si>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</si>
  <si>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</si>
  <si>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</si>
  <si>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</si>
  <si>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</si>
  <si>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</si>
  <si>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</si>
  <si>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</si>
  <si>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</si>
  <si>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</si>
  <si>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</si>
  <si>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</si>
  <si>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</si>
  <si>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</si>
  <si>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</si>
  <si>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</si>
  <si>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</si>
  <si>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</si>
  <si>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</si>
  <si>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</si>
  <si>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</si>
  <si>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</si>
  <si>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</si>
  <si>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</si>
  <si>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</si>
  <si>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</si>
  <si>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</si>
  <si>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</si>
  <si>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</si>
  <si>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</si>
  <si>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</si>
  <si>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</si>
  <si>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</si>
  <si>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</si>
  <si>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</si>
  <si>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</si>
  <si>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</si>
  <si>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</si>
  <si>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</si>
  <si>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</si>
  <si>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</si>
  <si>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</si>
  <si>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</si>
  <si>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</si>
  <si>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</si>
  <si>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</si>
  <si>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</si>
  <si>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</si>
  <si>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</si>
  <si>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</si>
  <si>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</si>
  <si>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</si>
  <si>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</si>
  <si>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</si>
  <si>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</si>
  <si>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</si>
  <si>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</si>
  <si>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</si>
  <si>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</si>
  <si>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</si>
  <si>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</si>
  <si>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</si>
  <si>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</si>
  <si>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</si>
  <si>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</si>
  <si>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</si>
  <si>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</si>
  <si>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</si>
  <si>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</si>
  <si>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</si>
  <si>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</si>
  <si>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</si>
  <si>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</si>
  <si>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</si>
  <si>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</si>
  <si>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</si>
  <si>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</si>
  <si>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</si>
  <si>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</si>
  <si>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</si>
  <si>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</si>
  <si>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</si>
  <si>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</si>
  <si>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</si>
  <si>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</si>
  <si>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</si>
  <si>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</si>
  <si>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</si>
  <si>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</si>
  <si>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</si>
  <si>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</si>
  <si>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</si>
  <si>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</si>
  <si>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</si>
  <si>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</si>
  <si>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</si>
  <si>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</si>
  <si>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</si>
  <si>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</si>
  <si>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</si>
  <si>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</si>
  <si>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</si>
  <si>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</si>
  <si>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</si>
  <si>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</si>
  <si>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</si>
  <si>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</si>
  <si>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</si>
  <si>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</si>
  <si>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</si>
  <si>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</si>
  <si>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</si>
  <si>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</si>
  <si>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</si>
  <si>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</si>
  <si>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</si>
  <si>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</si>
  <si>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</si>
  <si>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</si>
  <si>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</si>
  <si>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</si>
  <si>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</si>
  <si>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</si>
  <si>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</si>
  <si>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</si>
  <si>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</si>
  <si>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</si>
  <si>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</si>
  <si>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</si>
  <si>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</si>
  <si>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</si>
  <si>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</si>
  <si>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</si>
  <si>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</si>
  <si>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</si>
  <si>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</si>
  <si>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</si>
  <si>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</si>
  <si>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</si>
  <si>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</si>
  <si>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</si>
  <si>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</si>
  <si>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</si>
  <si>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</si>
  <si>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</si>
  <si>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</si>
  <si>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</si>
  <si>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</si>
  <si>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</si>
  <si>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</si>
  <si>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</si>
  <si>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</si>
  <si>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</si>
  <si>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</si>
  <si>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</si>
  <si>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</si>
  <si>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</si>
  <si>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</si>
  <si>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</si>
  <si>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</si>
  <si>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</si>
  <si>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</si>
  <si>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</si>
  <si>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</si>
  <si>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</si>
  <si>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</si>
  <si>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</si>
  <si>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</si>
  <si>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</si>
  <si>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</si>
  <si>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</si>
  <si>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</si>
  <si>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</si>
  <si>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</si>
  <si>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</si>
  <si>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</si>
  <si>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</si>
  <si>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</si>
  <si>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</si>
  <si>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</si>
  <si>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</si>
  <si>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</si>
  <si>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</si>
  <si>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</si>
  <si>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</si>
  <si>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</si>
  <si>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</si>
  <si>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</si>
  <si>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</si>
  <si>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</si>
  <si>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</si>
  <si>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</si>
  <si>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</si>
  <si>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</si>
  <si>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</si>
  <si>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</si>
  <si>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</si>
  <si>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</si>
  <si>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</si>
  <si>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</si>
  <si>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</si>
  <si>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</si>
  <si>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</si>
  <si>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</si>
  <si>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</si>
  <si>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</si>
  <si>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</si>
  <si>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</si>
  <si>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</si>
  <si>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</si>
  <si>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</si>
  <si>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</si>
  <si>
    <t>Equifax</t>
  </si>
  <si>
    <t>EFX</t>
  </si>
  <si>
    <t>Rev 24</t>
  </si>
  <si>
    <t>Rev 25</t>
  </si>
  <si>
    <t>Rev 26</t>
  </si>
  <si>
    <t>EV/Rev 24</t>
  </si>
  <si>
    <t>EV/Rev 25</t>
  </si>
  <si>
    <t>EV/Rev 26</t>
  </si>
  <si>
    <t>Average</t>
  </si>
  <si>
    <t>Costar</t>
  </si>
  <si>
    <t>CSGP</t>
  </si>
  <si>
    <t>GoDaddy</t>
  </si>
  <si>
    <t>GDDY</t>
  </si>
  <si>
    <t>Broadridge</t>
  </si>
  <si>
    <t>BR</t>
  </si>
  <si>
    <t>Tradeweb</t>
  </si>
  <si>
    <t>TW</t>
  </si>
  <si>
    <t>Expedia</t>
  </si>
  <si>
    <t>EXPE</t>
  </si>
  <si>
    <t>Corpay</t>
  </si>
  <si>
    <t>CPAY</t>
  </si>
  <si>
    <t>Affirm</t>
  </si>
  <si>
    <t>AFRM</t>
  </si>
  <si>
    <t>KE Holdings</t>
  </si>
  <si>
    <t>2423 HK</t>
  </si>
  <si>
    <t>Kingsoft Office</t>
  </si>
  <si>
    <t>Zomato</t>
  </si>
  <si>
    <t>ETERNAL IN</t>
  </si>
  <si>
    <t>LY Corp</t>
  </si>
  <si>
    <t>Hithink RoyalFlush</t>
  </si>
  <si>
    <t>300033 CH</t>
  </si>
  <si>
    <t>DKNG</t>
  </si>
  <si>
    <t>DraftKings</t>
  </si>
  <si>
    <t>Rea</t>
  </si>
  <si>
    <t>REA AU</t>
  </si>
  <si>
    <t>Rubrik</t>
  </si>
  <si>
    <t>RBRK</t>
  </si>
  <si>
    <t>SmartRent</t>
  </si>
  <si>
    <t>SMRT</t>
  </si>
  <si>
    <t>Chewy</t>
  </si>
  <si>
    <t>CHWY</t>
  </si>
  <si>
    <t>NewEgg</t>
  </si>
  <si>
    <t>NEGG</t>
  </si>
  <si>
    <t>Q125</t>
  </si>
  <si>
    <t>OPEN</t>
  </si>
  <si>
    <t>Hims</t>
  </si>
  <si>
    <t>HIMS</t>
  </si>
  <si>
    <t>Bloomberg</t>
  </si>
  <si>
    <t>ServiceTitan</t>
  </si>
  <si>
    <t>Coupa</t>
  </si>
  <si>
    <t>Amdocs</t>
  </si>
  <si>
    <t>Monday</t>
  </si>
  <si>
    <t>Epicor</t>
  </si>
  <si>
    <t>Ansys</t>
  </si>
  <si>
    <t>JetBrains</t>
  </si>
  <si>
    <t>Slack</t>
  </si>
  <si>
    <t>Factset</t>
  </si>
  <si>
    <t>Epic</t>
  </si>
  <si>
    <t>Guidewire</t>
  </si>
  <si>
    <t>Computer Associates</t>
  </si>
  <si>
    <t>Baan</t>
  </si>
  <si>
    <t>Informix</t>
  </si>
  <si>
    <t>Sybase</t>
  </si>
  <si>
    <t>Novell</t>
  </si>
  <si>
    <t>VMWare</t>
  </si>
  <si>
    <t>Corel</t>
  </si>
  <si>
    <t>Symantec</t>
  </si>
  <si>
    <t>Borland</t>
  </si>
  <si>
    <t>Appian</t>
  </si>
  <si>
    <t>Cursor</t>
  </si>
  <si>
    <t>Global GDP</t>
  </si>
  <si>
    <t>Ratio</t>
  </si>
  <si>
    <t xml:space="preserve">  y/y</t>
  </si>
  <si>
    <t>GitLab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</si>
</sst>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\x"/>
    <numFmt numFmtId="165" formatCode="[$¥-411]#,##0"/>
    <numFmt numFmtId="166" formatCode="0.0%"/>
    <numFmt numFmtId="167" formatCode="[$HK$-C04]#,##0.00"/>
    <numFmt numFmtId="168" formatCode="0.0\x"/>
  </numFmts>
  <fonts count="13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2" fillId="0" borderId="0" applyNumberFormat="0" applyFill="0" applyBorder="0" applyAlignment="0" applyProtection="0"/>
  </cellStyleXfs>
  <cellXfs count="346">
    <xf numFmtId="0" fontId="0" fillId="0" borderId="0" xfId="0"/>
    <xf numFmtId="0" fontId="121" fillId="0" borderId="0" xfId="0" applyFont="1"/>
    <xf numFmtId="2" fontId="121" fillId="0" borderId="0" xfId="0" applyNumberFormat="1" applyFont="1" applyAlignment="1">
      <alignment horizontal="right"/>
    </xf>
    <xf numFmtId="3" fontId="121" fillId="0" borderId="0" xfId="0" applyNumberFormat="1" applyFont="1" applyAlignment="1">
      <alignment horizontal="right"/>
    </xf>
    <xf numFmtId="0" fontId="121" fillId="0" borderId="0" xfId="0" applyFont="1" applyAlignment="1">
      <alignment horizontal="right"/>
    </xf>
    <xf numFmtId="0" fontId="123" fillId="0" borderId="0" xfId="1" applyFont="1"/>
    <xf numFmtId="0" fontId="120" fillId="0" borderId="0" xfId="0" applyFont="1"/>
    <xf numFmtId="3" fontId="120" fillId="0" borderId="0" xfId="0" applyNumberFormat="1" applyFont="1" applyAlignment="1">
      <alignment horizontal="right"/>
    </xf>
    <xf numFmtId="0" fontId="119" fillId="0" borderId="0" xfId="0" applyFont="1"/>
    <xf numFmtId="3" fontId="124" fillId="0" borderId="0" xfId="0" applyNumberFormat="1" applyFont="1" applyAlignment="1">
      <alignment horizontal="right"/>
    </xf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3" xfId="0" applyFont="1" applyBorder="1"/>
    <xf numFmtId="0" fontId="115" fillId="0" borderId="4" xfId="0" applyFont="1" applyBorder="1"/>
    <xf numFmtId="2" fontId="115" fillId="0" borderId="4" xfId="0" applyNumberFormat="1" applyFont="1" applyBorder="1" applyAlignment="1">
      <alignment horizontal="right"/>
    </xf>
    <xf numFmtId="3" fontId="115" fillId="0" borderId="4" xfId="0" applyNumberFormat="1" applyFont="1" applyBorder="1" applyAlignment="1">
      <alignment horizontal="right"/>
    </xf>
    <xf numFmtId="0" fontId="115" fillId="0" borderId="4" xfId="0" applyFont="1" applyBorder="1" applyAlignment="1">
      <alignment horizontal="right"/>
    </xf>
    <xf numFmtId="0" fontId="115" fillId="0" borderId="4" xfId="0" applyFont="1" applyBorder="1" applyAlignment="1">
      <alignment horizontal="center"/>
    </xf>
    <xf numFmtId="0" fontId="115" fillId="0" borderId="5" xfId="0" applyFont="1" applyBorder="1" applyAlignment="1">
      <alignment horizontal="center"/>
    </xf>
    <xf numFmtId="0" fontId="115" fillId="0" borderId="0" xfId="0" applyFont="1"/>
    <xf numFmtId="2" fontId="115" fillId="0" borderId="0" xfId="0" applyNumberFormat="1" applyFont="1" applyAlignment="1">
      <alignment horizontal="right"/>
    </xf>
    <xf numFmtId="3" fontId="115" fillId="0" borderId="0" xfId="0" applyNumberFormat="1" applyFont="1" applyAlignment="1">
      <alignment horizontal="right"/>
    </xf>
    <xf numFmtId="0" fontId="115" fillId="0" borderId="0" xfId="0" applyFont="1" applyAlignment="1">
      <alignment horizontal="right"/>
    </xf>
    <xf numFmtId="0" fontId="115" fillId="0" borderId="0" xfId="0" applyFont="1" applyAlignment="1">
      <alignment horizontal="center"/>
    </xf>
    <xf numFmtId="0" fontId="115" fillId="0" borderId="1" xfId="0" applyFont="1" applyBorder="1" applyAlignment="1">
      <alignment horizontal="center"/>
    </xf>
    <xf numFmtId="0" fontId="115" fillId="0" borderId="2" xfId="0" applyFont="1" applyBorder="1" applyAlignment="1">
      <alignment horizontal="center"/>
    </xf>
    <xf numFmtId="4" fontId="115" fillId="0" borderId="0" xfId="0" applyNumberFormat="1" applyFont="1" applyAlignment="1">
      <alignment horizontal="center"/>
    </xf>
    <xf numFmtId="9" fontId="115" fillId="0" borderId="0" xfId="0" applyNumberFormat="1" applyFont="1" applyAlignment="1">
      <alignment horizontal="center"/>
    </xf>
    <xf numFmtId="164" fontId="115" fillId="0" borderId="1" xfId="0" applyNumberFormat="1" applyFont="1" applyBorder="1" applyAlignment="1">
      <alignment horizontal="center"/>
    </xf>
    <xf numFmtId="164" fontId="115" fillId="0" borderId="0" xfId="0" applyNumberFormat="1" applyFont="1" applyAlignment="1">
      <alignment horizontal="center"/>
    </xf>
    <xf numFmtId="164" fontId="115" fillId="0" borderId="2" xfId="0" applyNumberFormat="1" applyFont="1" applyBorder="1" applyAlignment="1">
      <alignment horizontal="center"/>
    </xf>
    <xf numFmtId="4" fontId="115" fillId="0" borderId="1" xfId="0" applyNumberFormat="1" applyFont="1" applyBorder="1" applyAlignment="1">
      <alignment horizontal="center"/>
    </xf>
    <xf numFmtId="4" fontId="115" fillId="0" borderId="2" xfId="0" applyNumberFormat="1" applyFont="1" applyBorder="1" applyAlignment="1">
      <alignment horizontal="center"/>
    </xf>
    <xf numFmtId="0" fontId="114" fillId="0" borderId="0" xfId="0" applyFont="1" applyAlignment="1">
      <alignment horizontal="right"/>
    </xf>
    <xf numFmtId="9" fontId="114" fillId="0" borderId="0" xfId="0" applyNumberFormat="1" applyFont="1" applyAlignment="1">
      <alignment horizontal="center"/>
    </xf>
    <xf numFmtId="0" fontId="113" fillId="0" borderId="4" xfId="0" applyFont="1" applyBorder="1" applyAlignment="1">
      <alignment horizontal="right"/>
    </xf>
    <xf numFmtId="14" fontId="115" fillId="0" borderId="0" xfId="0" applyNumberFormat="1" applyFont="1" applyAlignment="1">
      <alignment horizontal="right"/>
    </xf>
    <xf numFmtId="0" fontId="113" fillId="0" borderId="0" xfId="0" applyFont="1"/>
    <xf numFmtId="0" fontId="112" fillId="0" borderId="0" xfId="0" applyFont="1"/>
    <xf numFmtId="0" fontId="112" fillId="0" borderId="3" xfId="0" applyFont="1" applyBorder="1" applyAlignment="1">
      <alignment horizontal="center"/>
    </xf>
    <xf numFmtId="0" fontId="112" fillId="0" borderId="6" xfId="0" applyFont="1" applyBorder="1" applyAlignment="1">
      <alignment horizontal="center"/>
    </xf>
    <xf numFmtId="0" fontId="112" fillId="0" borderId="4" xfId="0" applyFont="1" applyBorder="1" applyAlignment="1">
      <alignment horizontal="center"/>
    </xf>
    <xf numFmtId="0" fontId="115" fillId="0" borderId="5" xfId="0" applyFont="1" applyBorder="1"/>
    <xf numFmtId="3" fontId="118" fillId="0" borderId="0" xfId="0" applyNumberFormat="1" applyFont="1"/>
    <xf numFmtId="0" fontId="111" fillId="0" borderId="0" xfId="0" applyFont="1"/>
    <xf numFmtId="0" fontId="110" fillId="0" borderId="0" xfId="0" applyFont="1" applyAlignment="1">
      <alignment horizontal="right"/>
    </xf>
    <xf numFmtId="3" fontId="124" fillId="0" borderId="0" xfId="0" applyNumberFormat="1" applyFont="1"/>
    <xf numFmtId="4" fontId="124" fillId="0" borderId="0" xfId="0" applyNumberFormat="1" applyFont="1" applyAlignment="1">
      <alignment horizontal="right"/>
    </xf>
    <xf numFmtId="0" fontId="109" fillId="0" borderId="0" xfId="0" applyFont="1"/>
    <xf numFmtId="0" fontId="125" fillId="0" borderId="0" xfId="0" applyFont="1"/>
    <xf numFmtId="0" fontId="108" fillId="0" borderId="0" xfId="0" applyFont="1"/>
    <xf numFmtId="14" fontId="118" fillId="0" borderId="0" xfId="0" applyNumberFormat="1" applyFont="1"/>
    <xf numFmtId="3" fontId="107" fillId="0" borderId="0" xfId="0" applyNumberFormat="1" applyFont="1"/>
    <xf numFmtId="0" fontId="107" fillId="0" borderId="0" xfId="0" applyFont="1"/>
    <xf numFmtId="0" fontId="107" fillId="0" borderId="3" xfId="0" applyFont="1" applyBorder="1"/>
    <xf numFmtId="0" fontId="107" fillId="0" borderId="4" xfId="0" applyFont="1" applyBorder="1"/>
    <xf numFmtId="2" fontId="107" fillId="0" borderId="4" xfId="0" applyNumberFormat="1" applyFont="1" applyBorder="1" applyAlignment="1">
      <alignment horizontal="right"/>
    </xf>
    <xf numFmtId="3" fontId="107" fillId="0" borderId="4" xfId="0" applyNumberFormat="1" applyFont="1" applyBorder="1" applyAlignment="1">
      <alignment horizontal="right"/>
    </xf>
    <xf numFmtId="0" fontId="107" fillId="0" borderId="4" xfId="0" applyFont="1" applyBorder="1" applyAlignment="1">
      <alignment horizontal="right"/>
    </xf>
    <xf numFmtId="0" fontId="107" fillId="0" borderId="4" xfId="0" applyFont="1" applyBorder="1" applyAlignment="1">
      <alignment horizontal="center"/>
    </xf>
    <xf numFmtId="0" fontId="107" fillId="0" borderId="5" xfId="0" applyFont="1" applyBorder="1" applyAlignment="1">
      <alignment horizontal="center"/>
    </xf>
    <xf numFmtId="0" fontId="107" fillId="0" borderId="3" xfId="0" applyFont="1" applyBorder="1" applyAlignment="1">
      <alignment horizontal="center"/>
    </xf>
    <xf numFmtId="0" fontId="107" fillId="0" borderId="6" xfId="0" applyFont="1" applyBorder="1" applyAlignment="1">
      <alignment horizontal="center"/>
    </xf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26" fillId="0" borderId="0" xfId="0" applyFont="1"/>
    <xf numFmtId="0" fontId="101" fillId="0" borderId="0" xfId="0" applyFont="1"/>
    <xf numFmtId="0" fontId="127" fillId="0" borderId="0" xfId="1" applyFont="1"/>
    <xf numFmtId="0" fontId="100" fillId="0" borderId="0" xfId="0" applyFont="1"/>
    <xf numFmtId="0" fontId="99" fillId="0" borderId="0" xfId="0" applyFont="1" applyAlignment="1">
      <alignment horizontal="right"/>
    </xf>
    <xf numFmtId="14" fontId="107" fillId="0" borderId="0" xfId="0" applyNumberFormat="1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123" fillId="0" borderId="1" xfId="1" applyFont="1" applyBorder="1"/>
    <xf numFmtId="9" fontId="115" fillId="0" borderId="2" xfId="0" applyNumberFormat="1" applyFont="1" applyBorder="1" applyAlignment="1">
      <alignment horizontal="center"/>
    </xf>
    <xf numFmtId="0" fontId="102" fillId="0" borderId="0" xfId="0" applyFont="1" applyAlignment="1">
      <alignment horizontal="right"/>
    </xf>
    <xf numFmtId="0" fontId="115" fillId="0" borderId="1" xfId="0" applyFont="1" applyBorder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123" fillId="0" borderId="0" xfId="1" applyFont="1" applyBorder="1"/>
    <xf numFmtId="0" fontId="87" fillId="0" borderId="0" xfId="0" applyFont="1"/>
    <xf numFmtId="0" fontId="86" fillId="0" borderId="0" xfId="0" applyFont="1" applyAlignment="1">
      <alignment horizontal="right"/>
    </xf>
    <xf numFmtId="0" fontId="85" fillId="0" borderId="0" xfId="0" applyFont="1"/>
    <xf numFmtId="3" fontId="85" fillId="0" borderId="0" xfId="0" applyNumberFormat="1" applyFont="1" applyAlignment="1">
      <alignment horizontal="right"/>
    </xf>
    <xf numFmtId="14" fontId="84" fillId="0" borderId="0" xfId="0" applyNumberFormat="1" applyFont="1" applyAlignment="1">
      <alignment horizontal="right"/>
    </xf>
    <xf numFmtId="0" fontId="83" fillId="0" borderId="0" xfId="0" applyFont="1" applyAlignment="1">
      <alignment horizontal="right"/>
    </xf>
    <xf numFmtId="14" fontId="121" fillId="0" borderId="0" xfId="0" applyNumberFormat="1" applyFont="1"/>
    <xf numFmtId="0" fontId="82" fillId="0" borderId="0" xfId="0" applyFont="1"/>
    <xf numFmtId="165" fontId="115" fillId="0" borderId="0" xfId="0" applyNumberFormat="1" applyFont="1" applyAlignment="1">
      <alignment horizontal="right"/>
    </xf>
    <xf numFmtId="0" fontId="82" fillId="0" borderId="0" xfId="0" applyFont="1" applyAlignment="1">
      <alignment horizontal="right"/>
    </xf>
    <xf numFmtId="0" fontId="81" fillId="0" borderId="0" xfId="0" applyFont="1"/>
    <xf numFmtId="4" fontId="107" fillId="0" borderId="0" xfId="0" applyNumberFormat="1" applyFont="1"/>
    <xf numFmtId="0" fontId="80" fillId="0" borderId="0" xfId="0" applyFont="1"/>
    <xf numFmtId="0" fontId="79" fillId="0" borderId="0" xfId="0" applyFont="1"/>
    <xf numFmtId="3" fontId="128" fillId="0" borderId="0" xfId="0" applyNumberFormat="1" applyFont="1"/>
    <xf numFmtId="4" fontId="129" fillId="0" borderId="0" xfId="0" applyNumberFormat="1" applyFont="1" applyAlignment="1">
      <alignment horizontal="right"/>
    </xf>
    <xf numFmtId="3" fontId="128" fillId="0" borderId="0" xfId="0" applyNumberFormat="1" applyFont="1" applyAlignment="1">
      <alignment horizontal="right"/>
    </xf>
    <xf numFmtId="3" fontId="109" fillId="0" borderId="0" xfId="0" applyNumberFormat="1" applyFont="1"/>
    <xf numFmtId="0" fontId="78" fillId="0" borderId="0" xfId="0" applyFont="1"/>
    <xf numFmtId="0" fontId="77" fillId="0" borderId="0" xfId="0" applyFont="1"/>
    <xf numFmtId="3" fontId="77" fillId="0" borderId="0" xfId="0" applyNumberFormat="1" applyFont="1"/>
    <xf numFmtId="0" fontId="76" fillId="0" borderId="0" xfId="0" applyFont="1"/>
    <xf numFmtId="3" fontId="76" fillId="0" borderId="0" xfId="0" applyNumberFormat="1" applyFont="1"/>
    <xf numFmtId="3" fontId="123" fillId="0" borderId="0" xfId="1" applyNumberFormat="1" applyFont="1"/>
    <xf numFmtId="0" fontId="75" fillId="0" borderId="0" xfId="0" applyFont="1"/>
    <xf numFmtId="4" fontId="115" fillId="0" borderId="0" xfId="0" applyNumberFormat="1" applyFont="1"/>
    <xf numFmtId="4" fontId="121" fillId="0" borderId="0" xfId="0" applyNumberFormat="1" applyFont="1"/>
    <xf numFmtId="0" fontId="74" fillId="0" borderId="0" xfId="0" applyFont="1"/>
    <xf numFmtId="0" fontId="73" fillId="0" borderId="0" xfId="0" applyFont="1"/>
    <xf numFmtId="0" fontId="126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7" fillId="0" borderId="1" xfId="0" applyFont="1" applyBorder="1"/>
    <xf numFmtId="0" fontId="66" fillId="0" borderId="0" xfId="0" applyFont="1"/>
    <xf numFmtId="0" fontId="65" fillId="0" borderId="0" xfId="0" applyFont="1"/>
    <xf numFmtId="0" fontId="63" fillId="0" borderId="0" xfId="0" applyFont="1"/>
    <xf numFmtId="0" fontId="62" fillId="0" borderId="0" xfId="0" applyFont="1"/>
    <xf numFmtId="0" fontId="62" fillId="0" borderId="0" xfId="0" applyFont="1" applyAlignment="1">
      <alignment horizontal="right"/>
    </xf>
    <xf numFmtId="0" fontId="61" fillId="0" borderId="0" xfId="0" applyFont="1"/>
    <xf numFmtId="0" fontId="61" fillId="0" borderId="0" xfId="0" applyFont="1" applyAlignment="1">
      <alignment horizontal="right"/>
    </xf>
    <xf numFmtId="166" fontId="118" fillId="0" borderId="0" xfId="0" applyNumberFormat="1" applyFont="1" applyAlignment="1">
      <alignment horizontal="center"/>
    </xf>
    <xf numFmtId="166" fontId="118" fillId="0" borderId="0" xfId="0" applyNumberFormat="1" applyFont="1"/>
    <xf numFmtId="166" fontId="115" fillId="0" borderId="0" xfId="0" applyNumberFormat="1" applyFont="1" applyAlignment="1">
      <alignment horizontal="center"/>
    </xf>
    <xf numFmtId="0" fontId="60" fillId="0" borderId="0" xfId="0" applyFont="1" applyAlignment="1">
      <alignment horizontal="right"/>
    </xf>
    <xf numFmtId="0" fontId="59" fillId="0" borderId="0" xfId="0" applyFont="1"/>
    <xf numFmtId="0" fontId="59" fillId="0" borderId="0" xfId="0" applyFont="1" applyAlignment="1">
      <alignment horizontal="right"/>
    </xf>
    <xf numFmtId="3" fontId="59" fillId="0" borderId="0" xfId="0" applyNumberFormat="1" applyFont="1" applyAlignment="1">
      <alignment horizontal="right"/>
    </xf>
    <xf numFmtId="0" fontId="58" fillId="0" borderId="0" xfId="0" applyFont="1"/>
    <xf numFmtId="0" fontId="57" fillId="0" borderId="0" xfId="0" applyFont="1"/>
    <xf numFmtId="0" fontId="56" fillId="0" borderId="0" xfId="0" applyFont="1" applyAlignment="1">
      <alignment horizontal="right"/>
    </xf>
    <xf numFmtId="0" fontId="56" fillId="0" borderId="0" xfId="0" applyFont="1"/>
    <xf numFmtId="2" fontId="56" fillId="0" borderId="0" xfId="0" applyNumberFormat="1" applyFont="1" applyAlignment="1">
      <alignment horizontal="right"/>
    </xf>
    <xf numFmtId="3" fontId="56" fillId="0" borderId="0" xfId="0" applyNumberFormat="1" applyFont="1" applyAlignment="1">
      <alignment horizontal="right"/>
    </xf>
    <xf numFmtId="0" fontId="55" fillId="0" borderId="0" xfId="0" applyFont="1"/>
    <xf numFmtId="0" fontId="54" fillId="0" borderId="0" xfId="0" applyFont="1"/>
    <xf numFmtId="0" fontId="54" fillId="0" borderId="0" xfId="0" applyFont="1" applyAlignment="1">
      <alignment horizontal="right"/>
    </xf>
    <xf numFmtId="3" fontId="54" fillId="0" borderId="0" xfId="0" applyNumberFormat="1" applyFont="1" applyAlignment="1">
      <alignment horizontal="right"/>
    </xf>
    <xf numFmtId="2" fontId="54" fillId="0" borderId="0" xfId="0" applyNumberFormat="1" applyFont="1" applyAlignment="1">
      <alignment horizontal="right"/>
    </xf>
    <xf numFmtId="14" fontId="54" fillId="0" borderId="0" xfId="0" applyNumberFormat="1" applyFont="1" applyAlignment="1">
      <alignment horizontal="right"/>
    </xf>
    <xf numFmtId="0" fontId="54" fillId="0" borderId="0" xfId="0" applyFont="1" applyAlignment="1">
      <alignment horizontal="center"/>
    </xf>
    <xf numFmtId="0" fontId="54" fillId="0" borderId="1" xfId="0" applyFont="1" applyBorder="1" applyAlignment="1">
      <alignment horizontal="center"/>
    </xf>
    <xf numFmtId="0" fontId="54" fillId="0" borderId="2" xfId="0" applyFont="1" applyBorder="1" applyAlignment="1">
      <alignment horizontal="center"/>
    </xf>
    <xf numFmtId="0" fontId="54" fillId="0" borderId="1" xfId="0" applyFont="1" applyBorder="1"/>
    <xf numFmtId="4" fontId="54" fillId="0" borderId="0" xfId="0" applyNumberFormat="1" applyFont="1" applyAlignment="1">
      <alignment horizontal="right"/>
    </xf>
    <xf numFmtId="0" fontId="121" fillId="0" borderId="0" xfId="0" quotePrefix="1" applyFont="1"/>
    <xf numFmtId="167" fontId="121" fillId="0" borderId="0" xfId="0" applyNumberFormat="1" applyFont="1" applyAlignment="1">
      <alignment horizontal="right"/>
    </xf>
    <xf numFmtId="0" fontId="53" fillId="0" borderId="0" xfId="0" applyFont="1" applyAlignment="1">
      <alignment horizontal="right"/>
    </xf>
    <xf numFmtId="0" fontId="52" fillId="0" borderId="0" xfId="0" applyFont="1" applyAlignment="1">
      <alignment horizontal="right"/>
    </xf>
    <xf numFmtId="3" fontId="51" fillId="0" borderId="0" xfId="0" applyNumberFormat="1" applyFont="1" applyAlignment="1">
      <alignment horizontal="right"/>
    </xf>
    <xf numFmtId="0" fontId="51" fillId="0" borderId="0" xfId="0" applyFont="1"/>
    <xf numFmtId="0" fontId="51" fillId="0" borderId="0" xfId="0" applyFont="1" applyAlignment="1">
      <alignment horizontal="right"/>
    </xf>
    <xf numFmtId="0" fontId="51" fillId="0" borderId="3" xfId="0" applyFont="1" applyBorder="1"/>
    <xf numFmtId="0" fontId="51" fillId="0" borderId="4" xfId="0" applyFont="1" applyBorder="1"/>
    <xf numFmtId="2" fontId="51" fillId="0" borderId="4" xfId="0" applyNumberFormat="1" applyFont="1" applyBorder="1" applyAlignment="1">
      <alignment horizontal="right"/>
    </xf>
    <xf numFmtId="3" fontId="51" fillId="0" borderId="4" xfId="0" applyNumberFormat="1" applyFont="1" applyBorder="1" applyAlignment="1">
      <alignment horizontal="right"/>
    </xf>
    <xf numFmtId="0" fontId="51" fillId="0" borderId="4" xfId="0" applyFont="1" applyBorder="1" applyAlignment="1">
      <alignment horizontal="right"/>
    </xf>
    <xf numFmtId="0" fontId="51" fillId="0" borderId="4" xfId="0" applyFont="1" applyBorder="1" applyAlignment="1">
      <alignment horizontal="center"/>
    </xf>
    <xf numFmtId="0" fontId="51" fillId="0" borderId="5" xfId="0" applyFont="1" applyBorder="1" applyAlignment="1">
      <alignment horizontal="center"/>
    </xf>
    <xf numFmtId="0" fontId="51" fillId="0" borderId="3" xfId="0" applyFont="1" applyBorder="1" applyAlignment="1">
      <alignment horizontal="center"/>
    </xf>
    <xf numFmtId="0" fontId="51" fillId="0" borderId="5" xfId="0" applyFont="1" applyBorder="1"/>
    <xf numFmtId="3" fontId="51" fillId="0" borderId="0" xfId="0" applyNumberFormat="1" applyFont="1"/>
    <xf numFmtId="4" fontId="51" fillId="0" borderId="0" xfId="0" applyNumberFormat="1" applyFont="1" applyAlignment="1">
      <alignment horizontal="right"/>
    </xf>
    <xf numFmtId="2" fontId="51" fillId="0" borderId="0" xfId="0" applyNumberFormat="1" applyFont="1" applyAlignment="1">
      <alignment horizontal="right"/>
    </xf>
    <xf numFmtId="14" fontId="51" fillId="0" borderId="0" xfId="0" applyNumberFormat="1" applyFont="1" applyAlignment="1">
      <alignment horizontal="right"/>
    </xf>
    <xf numFmtId="0" fontId="51" fillId="0" borderId="0" xfId="0" applyFont="1" applyAlignment="1">
      <alignment horizontal="center"/>
    </xf>
    <xf numFmtId="0" fontId="51" fillId="0" borderId="1" xfId="0" applyFont="1" applyBorder="1"/>
    <xf numFmtId="4" fontId="118" fillId="0" borderId="0" xfId="0" applyNumberFormat="1" applyFont="1"/>
    <xf numFmtId="0" fontId="50" fillId="0" borderId="0" xfId="0" applyFont="1" applyAlignment="1">
      <alignment horizontal="right"/>
    </xf>
    <xf numFmtId="3" fontId="50" fillId="0" borderId="0" xfId="0" applyNumberFormat="1" applyFont="1"/>
    <xf numFmtId="0" fontId="49" fillId="0" borderId="0" xfId="0" applyFont="1" applyAlignment="1">
      <alignment horizontal="right"/>
    </xf>
    <xf numFmtId="0" fontId="49" fillId="0" borderId="0" xfId="0" applyFont="1"/>
    <xf numFmtId="0" fontId="48" fillId="0" borderId="0" xfId="0" applyFont="1"/>
    <xf numFmtId="4" fontId="109" fillId="0" borderId="0" xfId="0" applyNumberFormat="1" applyFont="1"/>
    <xf numFmtId="14" fontId="109" fillId="0" borderId="0" xfId="0" applyNumberFormat="1" applyFont="1"/>
    <xf numFmtId="3" fontId="48" fillId="0" borderId="0" xfId="0" applyNumberFormat="1" applyFont="1"/>
    <xf numFmtId="0" fontId="48" fillId="0" borderId="0" xfId="0" applyFont="1" applyAlignment="1">
      <alignment horizontal="right"/>
    </xf>
    <xf numFmtId="0" fontId="47" fillId="0" borderId="0" xfId="0" applyFont="1"/>
    <xf numFmtId="14" fontId="46" fillId="0" borderId="0" xfId="0" applyNumberFormat="1" applyFont="1" applyAlignment="1">
      <alignment horizontal="right"/>
    </xf>
    <xf numFmtId="0" fontId="45" fillId="0" borderId="0" xfId="0" applyFont="1"/>
    <xf numFmtId="0" fontId="44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0" fontId="42" fillId="0" borderId="0" xfId="0" applyFont="1" applyAlignment="1">
      <alignment horizontal="right"/>
    </xf>
    <xf numFmtId="0" fontId="41" fillId="0" borderId="0" xfId="0" applyFont="1"/>
    <xf numFmtId="4" fontId="113" fillId="0" borderId="0" xfId="0" applyNumberFormat="1" applyFont="1"/>
    <xf numFmtId="0" fontId="41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4" fontId="121" fillId="0" borderId="0" xfId="0" applyNumberFormat="1" applyFont="1" applyAlignment="1">
      <alignment horizontal="right"/>
    </xf>
    <xf numFmtId="0" fontId="39" fillId="0" borderId="0" xfId="0" applyFont="1" applyAlignment="1">
      <alignment horizontal="right"/>
    </xf>
    <xf numFmtId="0" fontId="39" fillId="0" borderId="0" xfId="0" applyFont="1"/>
    <xf numFmtId="2" fontId="39" fillId="0" borderId="0" xfId="0" applyNumberFormat="1" applyFont="1" applyAlignment="1">
      <alignment horizontal="right"/>
    </xf>
    <xf numFmtId="3" fontId="39" fillId="0" borderId="0" xfId="0" applyNumberFormat="1" applyFont="1" applyAlignment="1">
      <alignment horizontal="right"/>
    </xf>
    <xf numFmtId="0" fontId="39" fillId="0" borderId="0" xfId="0" applyFont="1" applyAlignment="1">
      <alignment horizontal="center"/>
    </xf>
    <xf numFmtId="9" fontId="39" fillId="0" borderId="0" xfId="0" applyNumberFormat="1" applyFont="1" applyAlignment="1">
      <alignment horizontal="center"/>
    </xf>
    <xf numFmtId="164" fontId="39" fillId="0" borderId="1" xfId="0" applyNumberFormat="1" applyFont="1" applyBorder="1" applyAlignment="1">
      <alignment horizontal="center"/>
    </xf>
    <xf numFmtId="164" fontId="39" fillId="0" borderId="6" xfId="0" applyNumberFormat="1" applyFont="1" applyBorder="1" applyAlignment="1">
      <alignment horizontal="center"/>
    </xf>
    <xf numFmtId="164" fontId="39" fillId="0" borderId="0" xfId="0" applyNumberFormat="1" applyFont="1" applyAlignment="1">
      <alignment horizontal="center"/>
    </xf>
    <xf numFmtId="0" fontId="39" fillId="0" borderId="1" xfId="0" applyFont="1" applyBorder="1" applyAlignment="1">
      <alignment horizontal="center"/>
    </xf>
    <xf numFmtId="0" fontId="39" fillId="0" borderId="2" xfId="0" applyFont="1" applyBorder="1" applyAlignment="1">
      <alignment horizontal="center"/>
    </xf>
    <xf numFmtId="0" fontId="39" fillId="0" borderId="3" xfId="0" applyFont="1" applyBorder="1"/>
    <xf numFmtId="0" fontId="39" fillId="0" borderId="4" xfId="0" applyFont="1" applyBorder="1"/>
    <xf numFmtId="2" fontId="39" fillId="0" borderId="4" xfId="0" applyNumberFormat="1" applyFont="1" applyBorder="1" applyAlignment="1">
      <alignment horizontal="right"/>
    </xf>
    <xf numFmtId="3" fontId="39" fillId="0" borderId="4" xfId="0" applyNumberFormat="1" applyFont="1" applyBorder="1" applyAlignment="1">
      <alignment horizontal="right"/>
    </xf>
    <xf numFmtId="0" fontId="39" fillId="0" borderId="4" xfId="0" applyFont="1" applyBorder="1" applyAlignment="1">
      <alignment horizontal="right"/>
    </xf>
    <xf numFmtId="0" fontId="39" fillId="0" borderId="4" xfId="0" applyFont="1" applyBorder="1" applyAlignment="1">
      <alignment horizontal="center"/>
    </xf>
    <xf numFmtId="0" fontId="39" fillId="0" borderId="5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39" fillId="0" borderId="6" xfId="0" applyFont="1" applyBorder="1" applyAlignment="1">
      <alignment horizontal="center"/>
    </xf>
    <xf numFmtId="14" fontId="39" fillId="0" borderId="0" xfId="0" applyNumberFormat="1" applyFont="1" applyAlignment="1">
      <alignment horizontal="right"/>
    </xf>
    <xf numFmtId="4" fontId="39" fillId="0" borderId="0" xfId="0" applyNumberFormat="1" applyFont="1" applyAlignment="1">
      <alignment horizontal="center"/>
    </xf>
    <xf numFmtId="9" fontId="39" fillId="0" borderId="2" xfId="0" applyNumberFormat="1" applyFont="1" applyBorder="1" applyAlignment="1">
      <alignment horizontal="center"/>
    </xf>
    <xf numFmtId="164" fontId="39" fillId="0" borderId="2" xfId="0" applyNumberFormat="1" applyFont="1" applyBorder="1" applyAlignment="1">
      <alignment horizontal="center"/>
    </xf>
    <xf numFmtId="4" fontId="39" fillId="0" borderId="1" xfId="0" applyNumberFormat="1" applyFont="1" applyBorder="1" applyAlignment="1">
      <alignment horizontal="center"/>
    </xf>
    <xf numFmtId="4" fontId="39" fillId="0" borderId="2" xfId="0" applyNumberFormat="1" applyFont="1" applyBorder="1" applyAlignment="1">
      <alignment horizontal="center"/>
    </xf>
    <xf numFmtId="4" fontId="39" fillId="0" borderId="0" xfId="0" applyNumberFormat="1" applyFont="1" applyAlignment="1">
      <alignment horizontal="right"/>
    </xf>
    <xf numFmtId="0" fontId="39" fillId="0" borderId="1" xfId="0" applyFont="1" applyBorder="1"/>
    <xf numFmtId="0" fontId="39" fillId="0" borderId="7" xfId="0" applyFont="1" applyBorder="1"/>
    <xf numFmtId="0" fontId="39" fillId="0" borderId="6" xfId="0" applyFont="1" applyBorder="1"/>
    <xf numFmtId="2" fontId="39" fillId="0" borderId="6" xfId="0" applyNumberFormat="1" applyFont="1" applyBorder="1" applyAlignment="1">
      <alignment horizontal="right"/>
    </xf>
    <xf numFmtId="3" fontId="39" fillId="0" borderId="6" xfId="0" applyNumberFormat="1" applyFont="1" applyBorder="1" applyAlignment="1">
      <alignment horizontal="right"/>
    </xf>
    <xf numFmtId="0" fontId="39" fillId="0" borderId="6" xfId="0" applyFont="1" applyBorder="1" applyAlignment="1">
      <alignment horizontal="right"/>
    </xf>
    <xf numFmtId="0" fontId="39" fillId="0" borderId="8" xfId="0" applyFont="1" applyBorder="1" applyAlignment="1">
      <alignment horizontal="center"/>
    </xf>
    <xf numFmtId="0" fontId="38" fillId="0" borderId="0" xfId="0" applyFont="1" applyAlignment="1">
      <alignment horizontal="right"/>
    </xf>
    <xf numFmtId="0" fontId="37" fillId="0" borderId="0" xfId="0" applyFont="1"/>
    <xf numFmtId="0" fontId="36" fillId="0" borderId="0" xfId="0" applyFont="1"/>
    <xf numFmtId="4" fontId="115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34" fillId="0" borderId="0" xfId="0" applyFont="1"/>
    <xf numFmtId="0" fontId="33" fillId="0" borderId="0" xfId="0" applyFont="1"/>
    <xf numFmtId="0" fontId="33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0" fontId="31" fillId="0" borderId="0" xfId="0" applyFont="1" applyAlignment="1">
      <alignment horizontal="right"/>
    </xf>
    <xf numFmtId="14" fontId="31" fillId="0" borderId="0" xfId="0" applyNumberFormat="1" applyFont="1"/>
    <xf numFmtId="0" fontId="30" fillId="0" borderId="0" xfId="0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/>
    <xf numFmtId="0" fontId="29" fillId="0" borderId="0" xfId="0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9" fillId="0" borderId="1" xfId="0" applyFont="1" applyBorder="1"/>
    <xf numFmtId="0" fontId="29" fillId="0" borderId="0" xfId="0" applyFont="1"/>
    <xf numFmtId="0" fontId="29" fillId="0" borderId="3" xfId="0" applyFont="1" applyBorder="1"/>
    <xf numFmtId="0" fontId="29" fillId="0" borderId="4" xfId="0" applyFont="1" applyBorder="1"/>
    <xf numFmtId="2" fontId="29" fillId="0" borderId="4" xfId="0" applyNumberFormat="1" applyFont="1" applyBorder="1" applyAlignment="1">
      <alignment horizontal="right"/>
    </xf>
    <xf numFmtId="3" fontId="29" fillId="0" borderId="4" xfId="0" applyNumberFormat="1" applyFont="1" applyBorder="1" applyAlignment="1">
      <alignment horizontal="right"/>
    </xf>
    <xf numFmtId="0" fontId="29" fillId="0" borderId="4" xfId="0" applyFont="1" applyBorder="1" applyAlignment="1">
      <alignment horizontal="right"/>
    </xf>
    <xf numFmtId="0" fontId="29" fillId="0" borderId="4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2" fontId="29" fillId="0" borderId="0" xfId="0" applyNumberFormat="1" applyFont="1" applyAlignment="1">
      <alignment horizontal="right"/>
    </xf>
    <xf numFmtId="0" fontId="29" fillId="2" borderId="0" xfId="0" applyFont="1" applyFill="1"/>
    <xf numFmtId="0" fontId="39" fillId="2" borderId="0" xfId="0" applyFont="1" applyFill="1"/>
    <xf numFmtId="0" fontId="67" fillId="2" borderId="0" xfId="0" applyFont="1" applyFill="1"/>
    <xf numFmtId="3" fontId="29" fillId="2" borderId="0" xfId="0" applyNumberFormat="1" applyFont="1" applyFill="1"/>
    <xf numFmtId="0" fontId="64" fillId="2" borderId="0" xfId="0" applyFont="1" applyFill="1"/>
    <xf numFmtId="0" fontId="54" fillId="2" borderId="0" xfId="0" applyFont="1" applyFill="1"/>
    <xf numFmtId="0" fontId="28" fillId="0" borderId="0" xfId="0" applyFont="1" applyAlignment="1">
      <alignment horizontal="right"/>
    </xf>
    <xf numFmtId="3" fontId="28" fillId="0" borderId="0" xfId="0" applyNumberFormat="1" applyFont="1"/>
    <xf numFmtId="0" fontId="27" fillId="2" borderId="0" xfId="0" applyFont="1" applyFill="1"/>
    <xf numFmtId="0" fontId="27" fillId="0" borderId="0" xfId="0" applyFont="1"/>
    <xf numFmtId="3" fontId="26" fillId="0" borderId="0" xfId="0" applyNumberFormat="1" applyFont="1"/>
    <xf numFmtId="3" fontId="25" fillId="0" borderId="0" xfId="0" applyNumberFormat="1" applyFont="1"/>
    <xf numFmtId="0" fontId="24" fillId="0" borderId="0" xfId="0" applyFont="1"/>
    <xf numFmtId="0" fontId="23" fillId="0" borderId="0" xfId="0" applyFont="1"/>
    <xf numFmtId="3" fontId="22" fillId="0" borderId="0" xfId="0" applyNumberFormat="1" applyFont="1"/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3" xfId="0" applyFont="1" applyBorder="1"/>
    <xf numFmtId="0" fontId="19" fillId="0" borderId="4" xfId="0" applyFont="1" applyBorder="1"/>
    <xf numFmtId="2" fontId="19" fillId="0" borderId="4" xfId="0" applyNumberFormat="1" applyFont="1" applyBorder="1" applyAlignment="1">
      <alignment horizontal="right"/>
    </xf>
    <xf numFmtId="3" fontId="19" fillId="0" borderId="4" xfId="0" applyNumberFormat="1" applyFont="1" applyBorder="1" applyAlignment="1">
      <alignment horizontal="right"/>
    </xf>
    <xf numFmtId="0" fontId="19" fillId="0" borderId="4" xfId="0" applyFont="1" applyBorder="1" applyAlignment="1">
      <alignment horizontal="right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2" borderId="0" xfId="0" applyFont="1" applyFill="1"/>
    <xf numFmtId="2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3" fontId="19" fillId="0" borderId="0" xfId="0" applyNumberFormat="1" applyFont="1"/>
    <xf numFmtId="14" fontId="19" fillId="0" borderId="0" xfId="0" applyNumberFormat="1" applyFont="1" applyAlignment="1">
      <alignment horizontal="right"/>
    </xf>
    <xf numFmtId="4" fontId="19" fillId="0" borderId="0" xfId="0" applyNumberFormat="1" applyFont="1"/>
    <xf numFmtId="14" fontId="18" fillId="0" borderId="0" xfId="0" applyNumberFormat="1" applyFont="1" applyAlignment="1">
      <alignment horizontal="right"/>
    </xf>
    <xf numFmtId="3" fontId="17" fillId="0" borderId="0" xfId="0" applyNumberFormat="1" applyFont="1"/>
    <xf numFmtId="0" fontId="16" fillId="0" borderId="0" xfId="0" applyFont="1" applyAlignment="1">
      <alignment horizontal="right"/>
    </xf>
    <xf numFmtId="0" fontId="16" fillId="0" borderId="0" xfId="0" applyFont="1"/>
    <xf numFmtId="0" fontId="15" fillId="0" borderId="0" xfId="0" applyFont="1" applyAlignment="1">
      <alignment horizontal="right"/>
    </xf>
    <xf numFmtId="3" fontId="15" fillId="0" borderId="0" xfId="0" applyNumberFormat="1" applyFont="1" applyAlignment="1">
      <alignment horizontal="right"/>
    </xf>
    <xf numFmtId="164" fontId="19" fillId="0" borderId="0" xfId="0" applyNumberFormat="1" applyFont="1" applyAlignment="1">
      <alignment horizontal="right"/>
    </xf>
    <xf numFmtId="2" fontId="125" fillId="0" borderId="0" xfId="0" applyNumberFormat="1" applyFont="1" applyAlignment="1">
      <alignment horizontal="right"/>
    </xf>
    <xf numFmtId="3" fontId="125" fillId="0" borderId="0" xfId="0" applyNumberFormat="1" applyFont="1" applyAlignment="1">
      <alignment horizontal="right"/>
    </xf>
    <xf numFmtId="0" fontId="125" fillId="0" borderId="0" xfId="0" applyFont="1" applyAlignment="1">
      <alignment horizontal="right"/>
    </xf>
    <xf numFmtId="0" fontId="125" fillId="0" borderId="0" xfId="0" applyFont="1" applyAlignment="1">
      <alignment horizontal="center"/>
    </xf>
    <xf numFmtId="164" fontId="125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4" fontId="51" fillId="0" borderId="0" xfId="0" applyNumberFormat="1" applyFont="1"/>
    <xf numFmtId="168" fontId="51" fillId="0" borderId="0" xfId="0" applyNumberFormat="1" applyFont="1"/>
    <xf numFmtId="0" fontId="13" fillId="0" borderId="0" xfId="0" applyFont="1" applyAlignment="1">
      <alignment horizontal="right"/>
    </xf>
    <xf numFmtId="3" fontId="12" fillId="2" borderId="0" xfId="0" applyNumberFormat="1" applyFont="1" applyFill="1"/>
    <xf numFmtId="3" fontId="12" fillId="0" borderId="0" xfId="0" applyNumberFormat="1" applyFont="1"/>
    <xf numFmtId="0" fontId="11" fillId="2" borderId="0" xfId="0" applyFont="1" applyFill="1"/>
    <xf numFmtId="3" fontId="10" fillId="2" borderId="0" xfId="0" applyNumberFormat="1" applyFont="1" applyFill="1"/>
    <xf numFmtId="0" fontId="10" fillId="0" borderId="1" xfId="0" applyFont="1" applyBorder="1"/>
    <xf numFmtId="0" fontId="10" fillId="0" borderId="0" xfId="0" applyFont="1"/>
    <xf numFmtId="0" fontId="9" fillId="0" borderId="1" xfId="0" applyFont="1" applyBorder="1"/>
    <xf numFmtId="0" fontId="9" fillId="0" borderId="0" xfId="0" applyFont="1"/>
    <xf numFmtId="0" fontId="8" fillId="0" borderId="0" xfId="0" applyFont="1"/>
    <xf numFmtId="0" fontId="8" fillId="2" borderId="0" xfId="0" applyFont="1" applyFill="1"/>
    <xf numFmtId="0" fontId="7" fillId="0" borderId="0" xfId="0" applyFont="1"/>
    <xf numFmtId="0" fontId="6" fillId="2" borderId="0" xfId="0" applyFont="1" applyFill="1"/>
    <xf numFmtId="0" fontId="6" fillId="0" borderId="0" xfId="0" applyFont="1"/>
    <xf numFmtId="0" fontId="6" fillId="0" borderId="1" xfId="0" applyFont="1" applyBorder="1"/>
    <xf numFmtId="0" fontId="5" fillId="0" borderId="0" xfId="0" applyFont="1"/>
    <xf numFmtId="0" fontId="4" fillId="0" borderId="0" xfId="0" applyFont="1"/>
    <xf numFmtId="3" fontId="3" fillId="2" borderId="0" xfId="0" applyNumberFormat="1" applyFont="1" applyFill="1"/>
    <xf numFmtId="3" fontId="3" fillId="0" borderId="0" xfId="0" applyNumberFormat="1" applyFont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14" fontId="1" fillId="0" borderId="0" xfId="0" applyNumberFormat="1" applyFont="1" applyAlignment="1">
      <alignment horizontal="right"/>
    </xf>
    <xf numFmtId="0" fontId="122" fillId="0" borderId="0" xfId="1"/>
    <xf numFmtId="3" fontId="125" fillId="0" borderId="0" xfId="0" applyNumberFormat="1" applyFont="1"/>
    <xf numFmtId="3" fontId="1" fillId="0" borderId="0" xfId="0" applyNumberFormat="1" applyFont="1"/>
    <xf numFmtId="9" fontId="125" fillId="0" borderId="0" xfId="0" applyNumberFormat="1" applyFont="1"/>
    <xf numFmtId="166" fontId="12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9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externalLink" Target="externalLinks/externalLink72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externalLink" Target="externalLinks/externalLink7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9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externalLink" Target="externalLinks/externalLink71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56" Type="http://schemas.openxmlformats.org/officeDocument/2006/relationships/externalLink" Target="externalLinks/externalLink40.xml"/><Relationship Id="rId77" Type="http://schemas.openxmlformats.org/officeDocument/2006/relationships/externalLink" Target="externalLinks/externalLink6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36763</xdr:colOff>
      <xdr:row>0</xdr:row>
      <xdr:rowOff>56816</xdr:rowOff>
    </xdr:from>
    <xdr:to>
      <xdr:col>32</xdr:col>
      <xdr:colOff>36763</xdr:colOff>
      <xdr:row>83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CA9BC7F-C992-057F-34F1-BC59D1E11A10}"/>
            </a:ext>
          </a:extLst>
        </xdr:cNvPr>
        <xdr:cNvCxnSpPr/>
      </xdr:nvCxnSpPr>
      <xdr:spPr>
        <a:xfrm>
          <a:off x="19378593" y="56816"/>
          <a:ext cx="0" cy="131971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LTR.xlsx" TargetMode="External"/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RBLX.xlsx" TargetMode="External"/><Relationship Id="rId1" Type="http://schemas.openxmlformats.org/officeDocument/2006/relationships/externalLinkPath" Target="RBLX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TWO.xlsx" TargetMode="External"/><Relationship Id="rId1" Type="http://schemas.openxmlformats.org/officeDocument/2006/relationships/externalLinkPath" Target="TTW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A.xlsx" TargetMode="External"/><Relationship Id="rId1" Type="http://schemas.openxmlformats.org/officeDocument/2006/relationships/externalLinkPath" Target="M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HOP.xlsx" TargetMode="External"/><Relationship Id="rId1" Type="http://schemas.openxmlformats.org/officeDocument/2006/relationships/externalLinkPath" Target="SHOP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UBER.xlsx" TargetMode="External"/><Relationship Id="rId1" Type="http://schemas.openxmlformats.org/officeDocument/2006/relationships/externalLinkPath" Target="UBER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WD.xlsx" TargetMode="External"/><Relationship Id="rId1" Type="http://schemas.openxmlformats.org/officeDocument/2006/relationships/externalLinkPath" Target="CRW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.xlsx" TargetMode="External"/><Relationship Id="rId1" Type="http://schemas.openxmlformats.org/officeDocument/2006/relationships/externalLinkPath" Target="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7433.9822350000004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7">
          <cell r="BI47">
            <v>2.126122658455222</v>
          </cell>
          <cell r="BJ47">
            <v>5.0612666064749128</v>
          </cell>
          <cell r="BK47">
            <v>5.7635038396459715</v>
          </cell>
          <cell r="BL47">
            <v>8.0537609674345241</v>
          </cell>
        </row>
        <row r="49">
          <cell r="BT49"/>
        </row>
        <row r="50">
          <cell r="BT50">
            <v>8.8186942013873226E-2</v>
          </cell>
        </row>
        <row r="51">
          <cell r="BT51"/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12291</v>
          </cell>
        </row>
        <row r="5">
          <cell r="L5">
            <v>146357</v>
          </cell>
        </row>
        <row r="6">
          <cell r="L6">
            <v>10886</v>
          </cell>
        </row>
      </sheetData>
      <sheetData sheetId="1">
        <row r="29">
          <cell r="AW29">
            <v>4.5799964361174039</v>
          </cell>
          <cell r="AX29">
            <v>5.8262287763546796</v>
          </cell>
          <cell r="AY29">
            <v>7.7094622081197626</v>
          </cell>
          <cell r="AZ29">
            <v>8.7786243176307845</v>
          </cell>
        </row>
        <row r="34">
          <cell r="BM34">
            <v>0.02</v>
          </cell>
        </row>
        <row r="35">
          <cell r="BM35">
            <v>0.08</v>
          </cell>
        </row>
        <row r="36">
          <cell r="BM36">
            <v>0.03</v>
          </cell>
        </row>
        <row r="40">
          <cell r="BM40">
            <v>296.28929340148335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10771</v>
          </cell>
        </row>
        <row r="5">
          <cell r="K5">
            <v>101202</v>
          </cell>
        </row>
        <row r="6">
          <cell r="K6">
            <v>52623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3.0028893337146103</v>
          </cell>
          <cell r="BR33">
            <v>4.4659310961776679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151.96798816809454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2358.9073969999999</v>
          </cell>
        </row>
        <row r="5">
          <cell r="L5">
            <v>5430.6890000000003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205.61045200000001</v>
          </cell>
        </row>
        <row r="5">
          <cell r="K5">
            <v>10661.288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176.49570600000001</v>
          </cell>
        </row>
        <row r="5">
          <cell r="I5">
            <v>1399.4</v>
          </cell>
        </row>
        <row r="6">
          <cell r="I6">
            <v>3657.9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2120</v>
          </cell>
        </row>
        <row r="5">
          <cell r="K5">
            <v>19203</v>
          </cell>
        </row>
        <row r="6">
          <cell r="K6">
            <v>20609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927</v>
          </cell>
        </row>
        <row r="5">
          <cell r="J5">
            <v>9264</v>
          </cell>
        </row>
        <row r="6">
          <cell r="J6">
            <v>18226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1294.8207339999999</v>
          </cell>
        </row>
        <row r="5">
          <cell r="M5">
            <v>11477</v>
          </cell>
        </row>
        <row r="6">
          <cell r="M6">
            <v>918</v>
          </cell>
        </row>
      </sheetData>
      <sheetData sheetId="1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2123</v>
          </cell>
        </row>
        <row r="5">
          <cell r="K5">
            <v>25949</v>
          </cell>
        </row>
        <row r="6">
          <cell r="K6">
            <v>8350</v>
          </cell>
        </row>
      </sheetData>
      <sheetData sheetId="1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247.87341499999999</v>
          </cell>
        </row>
        <row r="5">
          <cell r="I5">
            <v>4395.8389999999999</v>
          </cell>
        </row>
        <row r="6">
          <cell r="I6">
            <v>743.98299999999995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315.45776699999999</v>
          </cell>
        </row>
        <row r="5">
          <cell r="J5">
            <v>1123.8009999999999</v>
          </cell>
        </row>
        <row r="6">
          <cell r="J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6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hyperlink" Target="TTWO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DAVE.xlsx" TargetMode="External"/><Relationship Id="rId10" Type="http://schemas.openxmlformats.org/officeDocument/2006/relationships/hyperlink" Target="MA.xlsx" TargetMode="External"/><Relationship Id="rId4" Type="http://schemas.openxmlformats.org/officeDocument/2006/relationships/hyperlink" Target="V.xlsx" TargetMode="External"/><Relationship Id="rId9" Type="http://schemas.openxmlformats.org/officeDocument/2006/relationships/hyperlink" Target="DLO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hyperlink" Target="CHWY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6" Type="http://schemas.openxmlformats.org/officeDocument/2006/relationships/printerSettings" Target="../printerSettings/printerSettings7.bin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5" Type="http://schemas.openxmlformats.org/officeDocument/2006/relationships/hyperlink" Target="HIMS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Relationship Id="rId14" Type="http://schemas.openxmlformats.org/officeDocument/2006/relationships/hyperlink" Target="OPEN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CRWD.xlsx" TargetMode="External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22" bestFit="1" customWidth="1"/>
    <col min="2" max="2" width="18.26953125" style="122" bestFit="1" customWidth="1"/>
    <col min="3" max="16384" width="9.1796875" style="122"/>
  </cols>
  <sheetData>
    <row r="1" spans="1:10" x14ac:dyDescent="0.25">
      <c r="A1" s="122" t="s">
        <v>142</v>
      </c>
    </row>
    <row r="2" spans="1:10" x14ac:dyDescent="0.25">
      <c r="D2" s="122" t="s">
        <v>447</v>
      </c>
    </row>
    <row r="3" spans="1:10" x14ac:dyDescent="0.25">
      <c r="B3" s="122" t="s">
        <v>451</v>
      </c>
      <c r="C3" s="122" t="s">
        <v>255</v>
      </c>
    </row>
    <row r="4" spans="1:10" x14ac:dyDescent="0.25">
      <c r="B4" s="122" t="s">
        <v>452</v>
      </c>
      <c r="C4" s="122" t="s">
        <v>453</v>
      </c>
    </row>
    <row r="5" spans="1:10" x14ac:dyDescent="0.25">
      <c r="B5" s="122" t="s">
        <v>411</v>
      </c>
      <c r="C5" s="122" t="s">
        <v>13</v>
      </c>
    </row>
    <row r="6" spans="1:10" x14ac:dyDescent="0.25">
      <c r="B6" s="122" t="s">
        <v>454</v>
      </c>
      <c r="C6" s="122" t="s">
        <v>13</v>
      </c>
    </row>
    <row r="7" spans="1:10" x14ac:dyDescent="0.25">
      <c r="B7" s="122" t="s">
        <v>455</v>
      </c>
      <c r="C7" s="122" t="s">
        <v>13</v>
      </c>
    </row>
    <row r="8" spans="1:10" x14ac:dyDescent="0.25">
      <c r="B8" s="122" t="s">
        <v>456</v>
      </c>
      <c r="C8" s="122" t="s">
        <v>457</v>
      </c>
      <c r="D8" s="122">
        <v>1999</v>
      </c>
    </row>
    <row r="9" spans="1:10" x14ac:dyDescent="0.25">
      <c r="B9" s="122" t="s">
        <v>458</v>
      </c>
      <c r="C9" s="122" t="s">
        <v>7</v>
      </c>
    </row>
    <row r="10" spans="1:10" x14ac:dyDescent="0.25">
      <c r="B10" s="125" t="s">
        <v>479</v>
      </c>
      <c r="C10" s="125" t="s">
        <v>255</v>
      </c>
      <c r="D10" s="122">
        <v>1994</v>
      </c>
    </row>
    <row r="11" spans="1:10" s="10" customFormat="1" x14ac:dyDescent="0.25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2" t="s">
        <v>347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26" bestFit="1" customWidth="1"/>
    <col min="2" max="16384" width="8.81640625" style="126"/>
  </cols>
  <sheetData>
    <row r="1" spans="1:4" x14ac:dyDescent="0.25">
      <c r="A1" s="5" t="s">
        <v>142</v>
      </c>
    </row>
    <row r="2" spans="1:4" x14ac:dyDescent="0.25">
      <c r="B2" s="126" t="s">
        <v>223</v>
      </c>
      <c r="C2" s="126" t="s">
        <v>482</v>
      </c>
      <c r="D2" s="126" t="s">
        <v>483</v>
      </c>
    </row>
    <row r="3" spans="1:4" x14ac:dyDescent="0.25">
      <c r="B3" s="126" t="s">
        <v>480</v>
      </c>
      <c r="C3" s="126" t="s">
        <v>481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87" bestFit="1" customWidth="1"/>
    <col min="2" max="16384" width="9.1796875" style="87"/>
  </cols>
  <sheetData>
    <row r="1" spans="1:3" x14ac:dyDescent="0.25">
      <c r="A1" s="5" t="s">
        <v>142</v>
      </c>
    </row>
    <row r="2" spans="1:3" x14ac:dyDescent="0.25">
      <c r="A2" s="5"/>
      <c r="B2" s="87" t="s">
        <v>19</v>
      </c>
    </row>
    <row r="3" spans="1:3" x14ac:dyDescent="0.25">
      <c r="B3" s="87" t="s">
        <v>335</v>
      </c>
      <c r="C3" s="87" t="s">
        <v>336</v>
      </c>
    </row>
    <row r="4" spans="1:3" x14ac:dyDescent="0.25">
      <c r="B4" s="87" t="s">
        <v>337</v>
      </c>
      <c r="C4" s="87" t="s">
        <v>338</v>
      </c>
    </row>
    <row r="5" spans="1:3" x14ac:dyDescent="0.25">
      <c r="B5" s="87" t="s">
        <v>339</v>
      </c>
    </row>
    <row r="6" spans="1:3" x14ac:dyDescent="0.25">
      <c r="B6" s="87" t="s">
        <v>332</v>
      </c>
    </row>
    <row r="7" spans="1:3" x14ac:dyDescent="0.25">
      <c r="B7" s="87" t="s">
        <v>330</v>
      </c>
    </row>
    <row r="8" spans="1:3" x14ac:dyDescent="0.25">
      <c r="B8" s="87" t="s">
        <v>334</v>
      </c>
    </row>
    <row r="9" spans="1:3" x14ac:dyDescent="0.25">
      <c r="B9" s="87" t="s">
        <v>331</v>
      </c>
    </row>
    <row r="10" spans="1:3" x14ac:dyDescent="0.25">
      <c r="B10" s="87" t="s">
        <v>340</v>
      </c>
    </row>
    <row r="11" spans="1:3" x14ac:dyDescent="0.25">
      <c r="B11" s="87" t="s">
        <v>341</v>
      </c>
    </row>
    <row r="12" spans="1:3" x14ac:dyDescent="0.25">
      <c r="B12" s="87" t="s">
        <v>333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AL135"/>
  <sheetViews>
    <sheetView zoomScale="235" zoomScaleNormal="235" workbookViewId="0">
      <pane xSplit="2" ySplit="2" topLeftCell="C23" activePane="bottomRight" state="frozen"/>
      <selection pane="topRight" activeCell="C1" sqref="C1"/>
      <selection pane="bottomLeft" activeCell="A3" sqref="A3"/>
      <selection pane="bottomRight" activeCell="C41" sqref="C41"/>
    </sheetView>
  </sheetViews>
  <sheetFormatPr defaultColWidth="9.1796875" defaultRowHeight="12.5" x14ac:dyDescent="0.25"/>
  <cols>
    <col min="1" max="1" width="5" style="110" bestFit="1" customWidth="1"/>
    <col min="2" max="2" width="18.54296875" style="110" customWidth="1"/>
    <col min="3" max="7" width="7" style="110" customWidth="1"/>
    <col min="8" max="17" width="8.08984375" style="110" customWidth="1"/>
    <col min="18" max="16384" width="9.1796875" style="110"/>
  </cols>
  <sheetData>
    <row r="1" spans="1:38" x14ac:dyDescent="0.25">
      <c r="A1" s="5" t="s">
        <v>142</v>
      </c>
    </row>
    <row r="2" spans="1:38" x14ac:dyDescent="0.25">
      <c r="B2" s="110" t="s">
        <v>0</v>
      </c>
      <c r="C2" s="110">
        <f t="shared" ref="C2" si="0">+D2-1</f>
        <v>1995</v>
      </c>
      <c r="D2" s="110">
        <f t="shared" ref="D2:E2" si="1">+E2-1</f>
        <v>1996</v>
      </c>
      <c r="E2" s="110">
        <f t="shared" si="1"/>
        <v>1997</v>
      </c>
      <c r="F2" s="110">
        <f t="shared" ref="F2:G2" si="2">+G2-1</f>
        <v>1998</v>
      </c>
      <c r="G2" s="110">
        <f t="shared" si="2"/>
        <v>1999</v>
      </c>
      <c r="H2" s="110">
        <f t="shared" ref="H2:L2" si="3">+I2-1</f>
        <v>2000</v>
      </c>
      <c r="I2" s="110">
        <f t="shared" si="3"/>
        <v>2001</v>
      </c>
      <c r="J2" s="110">
        <f t="shared" si="3"/>
        <v>2002</v>
      </c>
      <c r="K2" s="110">
        <f t="shared" si="3"/>
        <v>2003</v>
      </c>
      <c r="L2" s="110">
        <f>+M2-1</f>
        <v>2004</v>
      </c>
      <c r="M2" s="110">
        <v>2005</v>
      </c>
      <c r="N2" s="110">
        <v>2006</v>
      </c>
      <c r="O2" s="110">
        <v>2007</v>
      </c>
      <c r="P2" s="110">
        <v>2008</v>
      </c>
      <c r="Q2" s="110">
        <v>2009</v>
      </c>
      <c r="R2" s="110">
        <v>2010</v>
      </c>
      <c r="S2" s="110">
        <f>R2+1</f>
        <v>2011</v>
      </c>
      <c r="T2" s="110">
        <f t="shared" ref="T2:AD2" si="4">S2+1</f>
        <v>2012</v>
      </c>
      <c r="U2" s="110">
        <f t="shared" si="4"/>
        <v>2013</v>
      </c>
      <c r="V2" s="110">
        <f t="shared" si="4"/>
        <v>2014</v>
      </c>
      <c r="W2" s="110">
        <f t="shared" si="4"/>
        <v>2015</v>
      </c>
      <c r="X2" s="110">
        <f t="shared" si="4"/>
        <v>2016</v>
      </c>
      <c r="Y2" s="110">
        <f t="shared" si="4"/>
        <v>2017</v>
      </c>
      <c r="Z2" s="110">
        <f t="shared" si="4"/>
        <v>2018</v>
      </c>
      <c r="AA2" s="110">
        <f t="shared" si="4"/>
        <v>2019</v>
      </c>
      <c r="AB2" s="110">
        <f t="shared" si="4"/>
        <v>2020</v>
      </c>
      <c r="AC2" s="110">
        <f t="shared" si="4"/>
        <v>2021</v>
      </c>
      <c r="AD2" s="110">
        <f t="shared" si="4"/>
        <v>2022</v>
      </c>
      <c r="AE2" s="110">
        <v>2023</v>
      </c>
      <c r="AF2" s="110">
        <f>+AE2+1</f>
        <v>2024</v>
      </c>
      <c r="AG2" s="110">
        <f>+AF2+1</f>
        <v>2025</v>
      </c>
      <c r="AH2" s="110">
        <f>+AG2+1</f>
        <v>2026</v>
      </c>
      <c r="AI2" s="110">
        <f>+AH2+1</f>
        <v>2027</v>
      </c>
      <c r="AJ2" s="110">
        <f>+AI2+1</f>
        <v>2028</v>
      </c>
      <c r="AK2" s="110">
        <f>+AJ2+1</f>
        <v>2029</v>
      </c>
      <c r="AL2" s="110">
        <f>+AK2+1</f>
        <v>2030</v>
      </c>
    </row>
    <row r="3" spans="1:38" x14ac:dyDescent="0.25">
      <c r="B3" s="337" t="s">
        <v>769</v>
      </c>
      <c r="C3" s="343">
        <v>29633</v>
      </c>
      <c r="D3" s="343">
        <f>+C3*1.02</f>
        <v>30225.66</v>
      </c>
      <c r="E3" s="343">
        <f>+D3*1.02</f>
        <v>30830.173200000001</v>
      </c>
      <c r="F3" s="343">
        <f>+E3*1.02</f>
        <v>31446.776664000001</v>
      </c>
      <c r="G3" s="343">
        <f>+F3*1.02</f>
        <v>32075.712197280001</v>
      </c>
      <c r="H3" s="343">
        <f>+G3*1.02</f>
        <v>32717.226441225601</v>
      </c>
      <c r="I3" s="343">
        <f>+H3*1.02</f>
        <v>33371.57097005011</v>
      </c>
      <c r="J3" s="343">
        <f t="shared" ref="J3:AL3" si="5">+I3*1.02</f>
        <v>34039.002389451111</v>
      </c>
      <c r="K3" s="343">
        <f t="shared" si="5"/>
        <v>34719.78243724013</v>
      </c>
      <c r="L3" s="343">
        <f t="shared" si="5"/>
        <v>35414.178085984931</v>
      </c>
      <c r="M3" s="343">
        <f t="shared" si="5"/>
        <v>36122.461647704629</v>
      </c>
      <c r="N3" s="343">
        <f t="shared" si="5"/>
        <v>36844.910880658725</v>
      </c>
      <c r="O3" s="343">
        <f t="shared" si="5"/>
        <v>37581.8090982719</v>
      </c>
      <c r="P3" s="343">
        <f t="shared" si="5"/>
        <v>38333.445280237342</v>
      </c>
      <c r="Q3" s="343">
        <f t="shared" si="5"/>
        <v>39100.114185842089</v>
      </c>
      <c r="R3" s="343">
        <f t="shared" si="5"/>
        <v>39882.116469558932</v>
      </c>
      <c r="S3" s="343">
        <f t="shared" si="5"/>
        <v>40679.758798950112</v>
      </c>
      <c r="T3" s="343">
        <f t="shared" si="5"/>
        <v>41493.353974929116</v>
      </c>
      <c r="U3" s="343">
        <f t="shared" si="5"/>
        <v>42323.221054427697</v>
      </c>
      <c r="V3" s="343">
        <f t="shared" si="5"/>
        <v>43169.685475516249</v>
      </c>
      <c r="W3" s="343">
        <f t="shared" si="5"/>
        <v>44033.079185026574</v>
      </c>
      <c r="X3" s="343">
        <f t="shared" si="5"/>
        <v>44913.740768727104</v>
      </c>
      <c r="Y3" s="343">
        <f t="shared" si="5"/>
        <v>45812.015584101646</v>
      </c>
      <c r="Z3" s="343">
        <f t="shared" si="5"/>
        <v>46728.255895783681</v>
      </c>
      <c r="AA3" s="343">
        <f t="shared" si="5"/>
        <v>47662.821013699358</v>
      </c>
      <c r="AB3" s="343">
        <f t="shared" si="5"/>
        <v>48616.077433973347</v>
      </c>
      <c r="AC3" s="343">
        <f t="shared" si="5"/>
        <v>49588.398982652812</v>
      </c>
      <c r="AD3" s="343">
        <f t="shared" si="5"/>
        <v>50580.16696230587</v>
      </c>
      <c r="AE3" s="343">
        <f t="shared" si="5"/>
        <v>51591.770301551987</v>
      </c>
      <c r="AF3" s="343">
        <f t="shared" si="5"/>
        <v>52623.605707583025</v>
      </c>
      <c r="AG3" s="343">
        <f t="shared" si="5"/>
        <v>53676.077821734689</v>
      </c>
      <c r="AH3" s="343">
        <f t="shared" si="5"/>
        <v>54749.599378169383</v>
      </c>
      <c r="AI3" s="343">
        <f t="shared" si="5"/>
        <v>55844.591365732769</v>
      </c>
      <c r="AJ3" s="343">
        <f t="shared" si="5"/>
        <v>56961.483193047425</v>
      </c>
      <c r="AK3" s="343">
        <f t="shared" si="5"/>
        <v>58100.712856908372</v>
      </c>
      <c r="AL3" s="343">
        <f t="shared" si="5"/>
        <v>59262.727114046538</v>
      </c>
    </row>
    <row r="4" spans="1:38" s="50" customFormat="1" ht="13" x14ac:dyDescent="0.3">
      <c r="B4" s="50" t="s">
        <v>414</v>
      </c>
      <c r="C4" s="342">
        <f t="shared" ref="C4:AL4" si="6">SUM(C9:C79)</f>
        <v>29073.446280991731</v>
      </c>
      <c r="D4" s="342">
        <f t="shared" si="6"/>
        <v>37084.590909090912</v>
      </c>
      <c r="E4" s="342">
        <f t="shared" si="6"/>
        <v>48267.675000000003</v>
      </c>
      <c r="F4" s="342">
        <f t="shared" si="6"/>
        <v>58272.010999999999</v>
      </c>
      <c r="G4" s="342">
        <f t="shared" si="6"/>
        <v>69188.745999999999</v>
      </c>
      <c r="H4" s="342">
        <f t="shared" si="6"/>
        <v>79032.472999999998</v>
      </c>
      <c r="I4" s="342">
        <f t="shared" si="6"/>
        <v>82449.252999999997</v>
      </c>
      <c r="J4" s="342">
        <f t="shared" si="6"/>
        <v>85566</v>
      </c>
      <c r="K4" s="342">
        <f t="shared" si="6"/>
        <v>94198</v>
      </c>
      <c r="L4" s="342">
        <f t="shared" si="6"/>
        <v>104282</v>
      </c>
      <c r="M4" s="342">
        <f t="shared" si="6"/>
        <v>111752.09</v>
      </c>
      <c r="N4" s="342">
        <f t="shared" si="6"/>
        <v>114389.88</v>
      </c>
      <c r="O4" s="342">
        <f t="shared" si="6"/>
        <v>136302.12280000001</v>
      </c>
      <c r="P4" s="342">
        <f t="shared" si="6"/>
        <v>159915.58438400002</v>
      </c>
      <c r="Q4" s="342">
        <f t="shared" si="6"/>
        <v>159470.07407552001</v>
      </c>
      <c r="R4" s="342">
        <f t="shared" si="6"/>
        <v>182309.31469778559</v>
      </c>
      <c r="S4" s="342">
        <f t="shared" si="6"/>
        <v>208420.04273871917</v>
      </c>
      <c r="T4" s="342">
        <f t="shared" si="6"/>
        <v>226276.7525</v>
      </c>
      <c r="U4" s="342">
        <f t="shared" si="6"/>
        <v>243539.77</v>
      </c>
      <c r="V4" s="342">
        <f t="shared" si="6"/>
        <v>268249.96600000001</v>
      </c>
      <c r="W4" s="342">
        <f t="shared" si="6"/>
        <v>287274.34509999998</v>
      </c>
      <c r="X4" s="342">
        <f t="shared" si="6"/>
        <v>300618.98273500003</v>
      </c>
      <c r="Y4" s="342">
        <f t="shared" si="6"/>
        <v>342354.18403975002</v>
      </c>
      <c r="Z4" s="342">
        <f t="shared" si="6"/>
        <v>391212.62466560001</v>
      </c>
      <c r="AA4" s="342">
        <f t="shared" si="6"/>
        <v>440118.52913216001</v>
      </c>
      <c r="AB4" s="342">
        <f t="shared" si="6"/>
        <v>485436.17904537602</v>
      </c>
      <c r="AC4" s="342">
        <f t="shared" si="6"/>
        <v>546458.27</v>
      </c>
      <c r="AD4" s="342">
        <f t="shared" si="6"/>
        <v>605587.28810000001</v>
      </c>
      <c r="AE4" s="342">
        <f t="shared" si="6"/>
        <v>642973.81074300001</v>
      </c>
      <c r="AF4" s="342">
        <f t="shared" si="6"/>
        <v>728928.28296529001</v>
      </c>
      <c r="AG4" s="342">
        <f t="shared" si="6"/>
        <v>810647.53665424872</v>
      </c>
      <c r="AH4" s="342">
        <f t="shared" si="6"/>
        <v>864615.35188882391</v>
      </c>
      <c r="AI4" s="342">
        <f t="shared" si="6"/>
        <v>958660.56932494161</v>
      </c>
      <c r="AJ4" s="342">
        <f t="shared" si="6"/>
        <v>1080030.9756842973</v>
      </c>
      <c r="AK4" s="342">
        <f t="shared" si="6"/>
        <v>1241978.9047148186</v>
      </c>
      <c r="AL4" s="342">
        <f>SUM(AL9:AL79)</f>
        <v>1380922.1133198179</v>
      </c>
    </row>
    <row r="5" spans="1:38" s="50" customFormat="1" ht="13" x14ac:dyDescent="0.3">
      <c r="B5" s="50" t="s">
        <v>771</v>
      </c>
      <c r="C5" s="342"/>
      <c r="D5" s="344">
        <f t="shared" ref="D5:H5" si="7">+D4/C4-1</f>
        <v>0.27554850397411879</v>
      </c>
      <c r="E5" s="344">
        <f t="shared" si="7"/>
        <v>0.30155608614702745</v>
      </c>
      <c r="F5" s="344">
        <f t="shared" si="7"/>
        <v>0.2072678246880546</v>
      </c>
      <c r="G5" s="344">
        <f t="shared" si="7"/>
        <v>0.18734096889156615</v>
      </c>
      <c r="H5" s="344">
        <f t="shared" si="7"/>
        <v>0.14227352812551342</v>
      </c>
      <c r="I5" s="344">
        <f>+I4/H4-1</f>
        <v>4.3232608955561913E-2</v>
      </c>
      <c r="J5" s="344">
        <f t="shared" ref="J5" si="8">+J4/I4-1</f>
        <v>3.7802004100631503E-2</v>
      </c>
      <c r="K5" s="344">
        <f t="shared" ref="K5" si="9">+K4/J4-1</f>
        <v>0.10088119112731686</v>
      </c>
      <c r="L5" s="344">
        <f t="shared" ref="L5:M5" si="10">+L4/K4-1</f>
        <v>0.10705110511900462</v>
      </c>
      <c r="M5" s="344">
        <f t="shared" si="10"/>
        <v>7.1633551331965251E-2</v>
      </c>
      <c r="N5" s="344">
        <f>+N4/M4-1</f>
        <v>2.3603943335645861E-2</v>
      </c>
      <c r="O5" s="344">
        <f t="shared" ref="O5:AL5" si="11">+O4/N4-1</f>
        <v>0.19155752938983772</v>
      </c>
      <c r="P5" s="344">
        <f t="shared" si="11"/>
        <v>0.17324353501558232</v>
      </c>
      <c r="Q5" s="344">
        <f t="shared" si="11"/>
        <v>-2.7859092670431407E-3</v>
      </c>
      <c r="R5" s="344">
        <f t="shared" si="11"/>
        <v>0.14321960251582766</v>
      </c>
      <c r="S5" s="344">
        <f t="shared" si="11"/>
        <v>0.14322212819579394</v>
      </c>
      <c r="T5" s="344">
        <f t="shared" si="11"/>
        <v>8.5676547834060646E-2</v>
      </c>
      <c r="U5" s="344">
        <f t="shared" si="11"/>
        <v>7.6291608878380046E-2</v>
      </c>
      <c r="V5" s="344">
        <f t="shared" si="11"/>
        <v>0.10146267281109789</v>
      </c>
      <c r="W5" s="344">
        <f t="shared" si="11"/>
        <v>7.0920341141813781E-2</v>
      </c>
      <c r="X5" s="344">
        <f t="shared" si="11"/>
        <v>4.6452590920901038E-2</v>
      </c>
      <c r="Y5" s="344">
        <f t="shared" si="11"/>
        <v>0.138830891266571</v>
      </c>
      <c r="Z5" s="344">
        <f t="shared" si="11"/>
        <v>0.1427131400858741</v>
      </c>
      <c r="AA5" s="344">
        <f t="shared" si="11"/>
        <v>0.12501105890527864</v>
      </c>
      <c r="AB5" s="344">
        <f t="shared" si="11"/>
        <v>0.10296692121228079</v>
      </c>
      <c r="AC5" s="344">
        <f t="shared" si="11"/>
        <v>0.12570569230053197</v>
      </c>
      <c r="AD5" s="344">
        <f t="shared" si="11"/>
        <v>0.10820408683722538</v>
      </c>
      <c r="AE5" s="344">
        <f t="shared" si="11"/>
        <v>6.1735976592735886E-2</v>
      </c>
      <c r="AF5" s="344">
        <f t="shared" si="11"/>
        <v>0.13368269560305079</v>
      </c>
      <c r="AG5" s="344">
        <f t="shared" si="11"/>
        <v>0.11210877064136371</v>
      </c>
      <c r="AH5" s="344">
        <f t="shared" si="11"/>
        <v>6.6573711501442645E-2</v>
      </c>
      <c r="AI5" s="344">
        <f t="shared" si="11"/>
        <v>0.10877116307346157</v>
      </c>
      <c r="AJ5" s="344">
        <f t="shared" si="11"/>
        <v>0.12660414983461865</v>
      </c>
      <c r="AK5" s="344">
        <f t="shared" si="11"/>
        <v>0.14994748546717629</v>
      </c>
      <c r="AL5" s="344">
        <f t="shared" si="11"/>
        <v>0.11187243847503447</v>
      </c>
    </row>
    <row r="6" spans="1:38" s="50" customFormat="1" ht="13" x14ac:dyDescent="0.3">
      <c r="C6" s="342"/>
      <c r="D6" s="342"/>
      <c r="E6" s="342"/>
      <c r="F6" s="342"/>
      <c r="G6" s="342"/>
      <c r="H6" s="342"/>
      <c r="I6" s="344"/>
      <c r="J6" s="344"/>
      <c r="K6" s="344"/>
      <c r="L6" s="344"/>
      <c r="M6" s="344"/>
      <c r="N6" s="344"/>
      <c r="O6" s="344"/>
      <c r="P6" s="344"/>
      <c r="Q6" s="344"/>
      <c r="R6" s="344"/>
      <c r="S6" s="344"/>
      <c r="T6" s="344"/>
      <c r="U6" s="344"/>
      <c r="V6" s="344"/>
      <c r="W6" s="344"/>
      <c r="X6" s="344"/>
      <c r="Y6" s="344"/>
      <c r="Z6" s="344"/>
      <c r="AA6" s="344"/>
      <c r="AB6" s="344"/>
      <c r="AC6" s="344"/>
      <c r="AD6" s="344"/>
      <c r="AE6" s="344"/>
      <c r="AF6" s="344"/>
      <c r="AG6" s="344"/>
      <c r="AH6" s="344"/>
      <c r="AI6" s="344"/>
      <c r="AJ6" s="344"/>
      <c r="AK6" s="344"/>
      <c r="AL6" s="344"/>
    </row>
    <row r="7" spans="1:38" s="50" customFormat="1" ht="13" x14ac:dyDescent="0.3">
      <c r="B7" s="50" t="s">
        <v>770</v>
      </c>
      <c r="C7" s="345">
        <f>(C4/1000)/C3</f>
        <v>9.8111720990084464E-4</v>
      </c>
      <c r="D7" s="345">
        <f t="shared" ref="D7:AL7" si="12">(D4/1000)/D3</f>
        <v>1.226924107168906E-3</v>
      </c>
      <c r="E7" s="345">
        <f t="shared" si="12"/>
        <v>1.5655985675747032E-3</v>
      </c>
      <c r="F7" s="345">
        <f t="shared" si="12"/>
        <v>1.8530360558927904E-3</v>
      </c>
      <c r="G7" s="345">
        <f t="shared" si="12"/>
        <v>2.1570447313674036E-3</v>
      </c>
      <c r="H7" s="345">
        <f t="shared" si="12"/>
        <v>2.4156226427682298E-3</v>
      </c>
      <c r="I7" s="345">
        <f t="shared" si="12"/>
        <v>2.4706434430070883E-3</v>
      </c>
      <c r="J7" s="345">
        <f t="shared" si="12"/>
        <v>2.5137634476184714E-3</v>
      </c>
      <c r="K7" s="345">
        <f t="shared" si="12"/>
        <v>2.7130930376730719E-3</v>
      </c>
      <c r="L7" s="345">
        <f t="shared" si="12"/>
        <v>2.9446398486731879E-3</v>
      </c>
      <c r="M7" s="345">
        <f t="shared" si="12"/>
        <v>3.093700841595362E-3</v>
      </c>
      <c r="N7" s="345">
        <f t="shared" si="12"/>
        <v>3.1046317460370772E-3</v>
      </c>
      <c r="O7" s="345">
        <f t="shared" si="12"/>
        <v>3.626811110758037E-3</v>
      </c>
      <c r="P7" s="345">
        <f t="shared" si="12"/>
        <v>4.1716987141368136E-3</v>
      </c>
      <c r="Q7" s="345">
        <f t="shared" si="12"/>
        <v>4.078506607872341E-3</v>
      </c>
      <c r="R7" s="345">
        <f t="shared" si="12"/>
        <v>4.5712046108921508E-3</v>
      </c>
      <c r="S7" s="345">
        <f t="shared" si="12"/>
        <v>5.1234335918456378E-3</v>
      </c>
      <c r="T7" s="345">
        <f t="shared" si="12"/>
        <v>5.4533251912274846E-3</v>
      </c>
      <c r="U7" s="345">
        <f t="shared" si="12"/>
        <v>5.754282493924733E-3</v>
      </c>
      <c r="V7" s="345">
        <f t="shared" si="12"/>
        <v>6.2138503684984773E-3</v>
      </c>
      <c r="W7" s="345">
        <f t="shared" si="12"/>
        <v>6.524057604349584E-3</v>
      </c>
      <c r="X7" s="345">
        <f t="shared" si="12"/>
        <v>6.6932519444988514E-3</v>
      </c>
      <c r="Y7" s="345">
        <f t="shared" si="12"/>
        <v>7.4730216445346434E-3</v>
      </c>
      <c r="Z7" s="345">
        <f t="shared" si="12"/>
        <v>8.3720784601528288E-3</v>
      </c>
      <c r="AA7" s="345">
        <f t="shared" si="12"/>
        <v>9.2340008369554989E-3</v>
      </c>
      <c r="AB7" s="345">
        <f t="shared" si="12"/>
        <v>9.9850955623612056E-3</v>
      </c>
      <c r="AC7" s="345">
        <f t="shared" si="12"/>
        <v>1.1019881286975284E-2</v>
      </c>
      <c r="AD7" s="345">
        <f t="shared" si="12"/>
        <v>1.1972821057536349E-2</v>
      </c>
      <c r="AE7" s="345">
        <f t="shared" si="12"/>
        <v>1.2462720449111203E-2</v>
      </c>
      <c r="AF7" s="345">
        <f>(AF4/1000)/AF3</f>
        <v>1.3851735797348679E-2</v>
      </c>
      <c r="AG7" s="345">
        <f t="shared" si="12"/>
        <v>1.510258516552785E-2</v>
      </c>
      <c r="AH7" s="345">
        <f t="shared" si="12"/>
        <v>1.5792176777709478E-2</v>
      </c>
      <c r="AI7" s="345">
        <f t="shared" si="12"/>
        <v>1.716657864047319E-2</v>
      </c>
      <c r="AJ7" s="345">
        <f t="shared" si="12"/>
        <v>1.8960724249822963E-2</v>
      </c>
      <c r="AK7" s="345">
        <f t="shared" si="12"/>
        <v>2.1376310954627865E-2</v>
      </c>
      <c r="AL7" s="345">
        <f t="shared" si="12"/>
        <v>2.3301697045806549E-2</v>
      </c>
    </row>
    <row r="8" spans="1:38" x14ac:dyDescent="0.25"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</row>
    <row r="9" spans="1:38" x14ac:dyDescent="0.25">
      <c r="A9" s="110">
        <v>1</v>
      </c>
      <c r="B9" s="110" t="s">
        <v>9</v>
      </c>
      <c r="C9" s="111">
        <v>0</v>
      </c>
      <c r="D9" s="111">
        <v>0</v>
      </c>
      <c r="E9" s="111">
        <v>0</v>
      </c>
      <c r="F9" s="111">
        <v>0</v>
      </c>
      <c r="G9" s="111">
        <v>0</v>
      </c>
      <c r="H9" s="111">
        <v>0</v>
      </c>
      <c r="I9" s="111">
        <v>86</v>
      </c>
      <c r="J9" s="111">
        <v>439</v>
      </c>
      <c r="K9" s="111">
        <v>1470</v>
      </c>
      <c r="L9" s="111">
        <v>3190</v>
      </c>
      <c r="M9" s="111">
        <v>6140</v>
      </c>
      <c r="N9" s="111">
        <v>10600</v>
      </c>
      <c r="O9" s="111">
        <v>16590</v>
      </c>
      <c r="P9" s="111">
        <v>21790</v>
      </c>
      <c r="Q9" s="111">
        <v>23650</v>
      </c>
      <c r="R9" s="111">
        <v>29320</v>
      </c>
      <c r="S9" s="111">
        <v>37910</v>
      </c>
      <c r="T9" s="111">
        <v>46039</v>
      </c>
      <c r="U9" s="111">
        <v>55519</v>
      </c>
      <c r="V9" s="111">
        <v>66001</v>
      </c>
      <c r="W9" s="111">
        <v>74989</v>
      </c>
      <c r="X9" s="111">
        <v>90272</v>
      </c>
      <c r="Y9" s="111">
        <v>110855</v>
      </c>
      <c r="Z9" s="111">
        <v>136819</v>
      </c>
      <c r="AA9" s="111">
        <v>161857</v>
      </c>
      <c r="AB9" s="111">
        <v>182527</v>
      </c>
      <c r="AC9" s="111">
        <f>257637-28800-19900</f>
        <v>208937</v>
      </c>
      <c r="AD9" s="111">
        <f>282836-29240-26280</f>
        <v>227316</v>
      </c>
      <c r="AE9" s="111">
        <f>307394-31510-33090</f>
        <v>242794</v>
      </c>
      <c r="AF9" s="111">
        <f>350018-36200-43200</f>
        <v>270618</v>
      </c>
      <c r="AG9" s="111">
        <f>+AF9*1.1</f>
        <v>297679.80000000005</v>
      </c>
      <c r="AH9" s="111">
        <f>+AG9*1.08</f>
        <v>321494.18400000007</v>
      </c>
      <c r="AI9" s="111">
        <f>+AH9*1.08</f>
        <v>347213.71872000012</v>
      </c>
      <c r="AJ9" s="111">
        <f>+AI9*1.08</f>
        <v>374990.81621760014</v>
      </c>
      <c r="AK9" s="111">
        <f>+AJ9*1.08</f>
        <v>404990.08151500818</v>
      </c>
      <c r="AL9" s="111">
        <f>+AK9*0.9</f>
        <v>364491.07336350734</v>
      </c>
    </row>
    <row r="10" spans="1:38" x14ac:dyDescent="0.25">
      <c r="A10" s="110">
        <f>+A9+1</f>
        <v>2</v>
      </c>
      <c r="B10" s="110" t="s">
        <v>7</v>
      </c>
      <c r="C10" s="111">
        <v>5937</v>
      </c>
      <c r="D10" s="111">
        <v>8671</v>
      </c>
      <c r="E10" s="111">
        <v>11936</v>
      </c>
      <c r="F10" s="111">
        <v>15262</v>
      </c>
      <c r="G10" s="111">
        <v>19747</v>
      </c>
      <c r="H10" s="111">
        <v>22960</v>
      </c>
      <c r="I10" s="111">
        <v>26720</v>
      </c>
      <c r="J10" s="111">
        <v>30780</v>
      </c>
      <c r="K10" s="111">
        <v>34260</v>
      </c>
      <c r="L10" s="111">
        <v>36840</v>
      </c>
      <c r="M10" s="111">
        <v>39700</v>
      </c>
      <c r="N10" s="111">
        <v>44200</v>
      </c>
      <c r="O10" s="111">
        <v>51100</v>
      </c>
      <c r="P10" s="111">
        <v>60400</v>
      </c>
      <c r="Q10" s="111">
        <v>58400</v>
      </c>
      <c r="R10" s="111">
        <v>62484</v>
      </c>
      <c r="S10" s="111">
        <v>69943</v>
      </c>
      <c r="T10" s="111">
        <v>73723</v>
      </c>
      <c r="U10" s="111">
        <v>77849</v>
      </c>
      <c r="V10" s="111">
        <v>86833</v>
      </c>
      <c r="W10" s="111">
        <v>93580</v>
      </c>
      <c r="X10" s="111">
        <v>85320</v>
      </c>
      <c r="Y10" s="111">
        <v>96571</v>
      </c>
      <c r="Z10" s="111">
        <v>110360</v>
      </c>
      <c r="AA10" s="111">
        <f>125843-5000</f>
        <v>120843</v>
      </c>
      <c r="AB10" s="111">
        <f>143015-17000</f>
        <v>126015</v>
      </c>
      <c r="AC10" s="111">
        <f>184903-50000</f>
        <v>134903</v>
      </c>
      <c r="AD10" s="111">
        <f>192270-44000</f>
        <v>148270</v>
      </c>
      <c r="AE10" s="111">
        <f>211915-68000</f>
        <v>143915</v>
      </c>
      <c r="AF10" s="111">
        <f>245122-75000</f>
        <v>170122</v>
      </c>
      <c r="AG10" s="111">
        <f>281724-90000</f>
        <v>191724</v>
      </c>
      <c r="AH10" s="111">
        <f>+AG10*1.05</f>
        <v>201310.2</v>
      </c>
      <c r="AI10" s="111">
        <f t="shared" ref="AH10:AL10" si="13">+AH10*1.05</f>
        <v>211375.71000000002</v>
      </c>
      <c r="AJ10" s="111">
        <f t="shared" si="13"/>
        <v>221944.49550000002</v>
      </c>
      <c r="AK10" s="111">
        <f t="shared" si="13"/>
        <v>233041.72027500003</v>
      </c>
      <c r="AL10" s="111">
        <f t="shared" si="13"/>
        <v>244693.80628875003</v>
      </c>
    </row>
    <row r="11" spans="1:38" x14ac:dyDescent="0.25">
      <c r="A11" s="110">
        <f>+A10+1</f>
        <v>3</v>
      </c>
      <c r="B11" s="110" t="s">
        <v>23</v>
      </c>
      <c r="C11" s="111">
        <v>2970</v>
      </c>
      <c r="D11" s="111">
        <v>4220</v>
      </c>
      <c r="E11" s="111">
        <v>5680</v>
      </c>
      <c r="F11" s="111">
        <v>7140</v>
      </c>
      <c r="G11" s="111">
        <v>8830</v>
      </c>
      <c r="H11" s="111">
        <v>10740</v>
      </c>
      <c r="I11" s="111">
        <v>10560</v>
      </c>
      <c r="J11" s="111">
        <v>9430</v>
      </c>
      <c r="K11" s="111">
        <v>9700</v>
      </c>
      <c r="L11" s="111">
        <v>10550</v>
      </c>
      <c r="M11" s="111">
        <v>12880</v>
      </c>
      <c r="N11" s="111">
        <v>16070</v>
      </c>
      <c r="O11" s="111">
        <v>20080</v>
      </c>
      <c r="P11" s="111">
        <v>23520</v>
      </c>
      <c r="Q11" s="111">
        <v>23220</v>
      </c>
      <c r="R11" s="111">
        <v>31990</v>
      </c>
      <c r="S11" s="111">
        <v>36700</v>
      </c>
      <c r="T11" s="111">
        <v>37230</v>
      </c>
      <c r="U11" s="111">
        <v>37180</v>
      </c>
      <c r="V11" s="111">
        <v>38820</v>
      </c>
      <c r="W11" s="111">
        <v>37470</v>
      </c>
      <c r="X11" s="111">
        <v>37728</v>
      </c>
      <c r="Y11" s="111">
        <v>39831</v>
      </c>
      <c r="Z11" s="111">
        <v>39506</v>
      </c>
      <c r="AA11" s="111">
        <v>39068</v>
      </c>
      <c r="AB11" s="111">
        <v>40479</v>
      </c>
      <c r="AC11" s="111">
        <v>42440</v>
      </c>
      <c r="AD11" s="111">
        <f>49954-6000</f>
        <v>43954</v>
      </c>
      <c r="AE11" s="111">
        <f>52961-8000</f>
        <v>44961</v>
      </c>
      <c r="AF11" s="111">
        <f>57399-10000</f>
        <v>47399</v>
      </c>
      <c r="AG11" s="111">
        <f>+AF11*1.05</f>
        <v>49768.950000000004</v>
      </c>
      <c r="AH11" s="111">
        <f t="shared" ref="AH11:AL11" si="14">+AG11*1.05</f>
        <v>52257.397500000006</v>
      </c>
      <c r="AI11" s="111">
        <f t="shared" si="14"/>
        <v>54870.26737500001</v>
      </c>
      <c r="AJ11" s="111">
        <f t="shared" si="14"/>
        <v>57613.780743750016</v>
      </c>
      <c r="AK11" s="111">
        <f t="shared" si="14"/>
        <v>60494.469780937521</v>
      </c>
      <c r="AL11" s="111">
        <f t="shared" si="14"/>
        <v>63519.193269984396</v>
      </c>
    </row>
    <row r="12" spans="1:38" x14ac:dyDescent="0.25">
      <c r="A12" s="110">
        <f t="shared" ref="A12:A76" si="15">+A11+1</f>
        <v>4</v>
      </c>
      <c r="B12" s="110" t="s">
        <v>21</v>
      </c>
      <c r="C12" s="111">
        <v>0</v>
      </c>
      <c r="D12" s="111">
        <v>0</v>
      </c>
      <c r="E12" s="111">
        <v>0</v>
      </c>
      <c r="F12" s="111">
        <v>0</v>
      </c>
      <c r="G12" s="111">
        <v>0</v>
      </c>
      <c r="H12" s="111">
        <v>0</v>
      </c>
      <c r="I12" s="111">
        <v>0</v>
      </c>
      <c r="J12" s="111">
        <v>0</v>
      </c>
      <c r="K12" s="111">
        <v>0</v>
      </c>
      <c r="L12" s="111">
        <v>0</v>
      </c>
      <c r="M12" s="111">
        <v>176</v>
      </c>
      <c r="N12" s="111">
        <v>310</v>
      </c>
      <c r="O12" s="111">
        <v>497</v>
      </c>
      <c r="P12" s="111">
        <v>749</v>
      </c>
      <c r="Q12" s="111">
        <v>1077</v>
      </c>
      <c r="R12" s="111">
        <v>1306</v>
      </c>
      <c r="S12" s="111">
        <v>1657</v>
      </c>
      <c r="T12" s="111">
        <v>2267</v>
      </c>
      <c r="U12" s="111">
        <v>3050</v>
      </c>
      <c r="V12" s="111">
        <v>4071</v>
      </c>
      <c r="W12" s="111">
        <v>5374</v>
      </c>
      <c r="X12" s="111">
        <v>6667</v>
      </c>
      <c r="Y12" s="111">
        <v>8392</v>
      </c>
      <c r="Z12" s="111">
        <v>10480</v>
      </c>
      <c r="AA12" s="111">
        <v>13282</v>
      </c>
      <c r="AB12" s="111">
        <v>17098</v>
      </c>
      <c r="AC12" s="111">
        <v>21252</v>
      </c>
      <c r="AD12" s="111">
        <v>26492</v>
      </c>
      <c r="AE12" s="111">
        <v>31352</v>
      </c>
      <c r="AF12" s="111">
        <v>34857</v>
      </c>
      <c r="AG12" s="111">
        <v>37895</v>
      </c>
      <c r="AH12" s="111">
        <f>+AG12*0.9</f>
        <v>34105.5</v>
      </c>
      <c r="AI12" s="111">
        <f>+AH12*0.9</f>
        <v>30694.95</v>
      </c>
      <c r="AJ12" s="111">
        <f>+AI12*0.9</f>
        <v>27625.455000000002</v>
      </c>
      <c r="AK12" s="111">
        <f>+AJ12*0.9</f>
        <v>24862.909500000002</v>
      </c>
      <c r="AL12" s="111">
        <f>+AK12*0.9</f>
        <v>22376.618550000003</v>
      </c>
    </row>
    <row r="13" spans="1:38" x14ac:dyDescent="0.25">
      <c r="A13" s="110">
        <f t="shared" si="15"/>
        <v>5</v>
      </c>
      <c r="B13" s="110" t="s">
        <v>25</v>
      </c>
      <c r="C13" s="111">
        <v>708</v>
      </c>
      <c r="D13" s="111">
        <v>1211</v>
      </c>
      <c r="E13" s="111">
        <v>3021</v>
      </c>
      <c r="F13" s="111">
        <v>4316</v>
      </c>
      <c r="G13" s="111">
        <v>5110</v>
      </c>
      <c r="H13" s="111">
        <v>5850</v>
      </c>
      <c r="I13" s="111">
        <v>6190</v>
      </c>
      <c r="J13" s="111">
        <v>7260</v>
      </c>
      <c r="K13" s="111">
        <v>8200</v>
      </c>
      <c r="L13" s="111">
        <v>9540</v>
      </c>
      <c r="M13" s="111">
        <f>8509*EUR</f>
        <v>8594.09</v>
      </c>
      <c r="N13" s="111">
        <f>9402*EUR</f>
        <v>9496.02</v>
      </c>
      <c r="O13" s="111">
        <f>10256*EUR</f>
        <v>10358.56</v>
      </c>
      <c r="P13" s="111">
        <f>11575*EUR</f>
        <v>11690.75</v>
      </c>
      <c r="Q13" s="111">
        <f>10672*EUR</f>
        <v>10778.72</v>
      </c>
      <c r="R13" s="111">
        <f>12538*EUR</f>
        <v>12663.380000000001</v>
      </c>
      <c r="S13" s="111">
        <f>14260*EUR</f>
        <v>14402.6</v>
      </c>
      <c r="T13" s="111">
        <f>16304*EUR</f>
        <v>16467.04</v>
      </c>
      <c r="U13" s="111">
        <f>16897*EUR</f>
        <v>17065.97</v>
      </c>
      <c r="V13" s="111">
        <f>17580*EUR</f>
        <v>17755.8</v>
      </c>
      <c r="W13" s="111">
        <f>20805*EUR</f>
        <v>21013.05</v>
      </c>
      <c r="X13" s="111">
        <f>22062*EUR</f>
        <v>22282.62</v>
      </c>
      <c r="Y13" s="111">
        <f>23461*EUR</f>
        <v>23695.61</v>
      </c>
      <c r="Z13" s="111">
        <f>24708*EUR</f>
        <v>24955.08</v>
      </c>
      <c r="AA13" s="111">
        <f>27553*EUR</f>
        <v>27828.53</v>
      </c>
      <c r="AB13" s="111">
        <f>27338*EUR</f>
        <v>27611.38</v>
      </c>
      <c r="AC13" s="111">
        <v>27843</v>
      </c>
      <c r="AD13" s="343">
        <f>29520*EUR</f>
        <v>29815.200000000001</v>
      </c>
      <c r="AE13" s="343">
        <f>31207*EUR</f>
        <v>31519.07</v>
      </c>
      <c r="AF13" s="343">
        <f>34176*EUR</f>
        <v>34517.760000000002</v>
      </c>
      <c r="AG13" s="111">
        <f>+AF13*1.05</f>
        <v>36243.648000000001</v>
      </c>
      <c r="AH13" s="111">
        <f>+AG13*0.95</f>
        <v>34431.465599999996</v>
      </c>
      <c r="AI13" s="111">
        <f t="shared" ref="AI13:AL13" si="16">+AH13*0.95</f>
        <v>32709.892319999995</v>
      </c>
      <c r="AJ13" s="111">
        <f t="shared" si="16"/>
        <v>31074.397703999995</v>
      </c>
      <c r="AK13" s="111">
        <f t="shared" si="16"/>
        <v>29520.677818799995</v>
      </c>
      <c r="AL13" s="111">
        <f t="shared" si="16"/>
        <v>28044.643927859994</v>
      </c>
    </row>
    <row r="14" spans="1:38" x14ac:dyDescent="0.25">
      <c r="A14" s="110">
        <f t="shared" si="15"/>
        <v>6</v>
      </c>
      <c r="B14" s="110" t="s">
        <v>255</v>
      </c>
      <c r="C14" s="111">
        <f>+D14/1.1</f>
        <v>9226.4462809917331</v>
      </c>
      <c r="D14" s="111">
        <f>+E14/1.1</f>
        <v>10149.090909090908</v>
      </c>
      <c r="E14" s="111">
        <v>11164</v>
      </c>
      <c r="F14" s="111">
        <v>11863</v>
      </c>
      <c r="G14" s="111">
        <v>12662</v>
      </c>
      <c r="H14" s="111">
        <v>12598</v>
      </c>
      <c r="I14" s="111">
        <v>12939</v>
      </c>
      <c r="J14" s="111">
        <v>13074</v>
      </c>
      <c r="K14" s="111">
        <v>14311</v>
      </c>
      <c r="L14" s="111">
        <v>15100</v>
      </c>
      <c r="M14" s="111">
        <v>15753</v>
      </c>
      <c r="N14" s="111">
        <f>+M14*1.1</f>
        <v>17328.300000000003</v>
      </c>
      <c r="O14" s="111">
        <f>+N14*1.1</f>
        <v>19061.130000000005</v>
      </c>
      <c r="P14" s="111">
        <v>22100</v>
      </c>
      <c r="Q14" s="111">
        <f>+P14*1.01</f>
        <v>22321</v>
      </c>
      <c r="R14" s="111">
        <v>22485</v>
      </c>
      <c r="S14" s="111">
        <f>+R14*1.05</f>
        <v>23609.25</v>
      </c>
      <c r="T14" s="111">
        <f>+S14*1.05</f>
        <v>24789.712500000001</v>
      </c>
      <c r="U14" s="111">
        <v>25932</v>
      </c>
      <c r="V14" s="111">
        <v>25400</v>
      </c>
      <c r="W14" s="111">
        <v>22930</v>
      </c>
      <c r="X14" s="111">
        <v>22710</v>
      </c>
      <c r="Y14" s="111">
        <v>22840</v>
      </c>
      <c r="Z14" s="111">
        <v>22210</v>
      </c>
      <c r="AA14" s="111">
        <v>22890</v>
      </c>
      <c r="AB14" s="111">
        <v>22930</v>
      </c>
      <c r="AC14" s="111">
        <v>23430</v>
      </c>
      <c r="AD14" s="111">
        <v>25040</v>
      </c>
      <c r="AE14" s="111">
        <v>26308</v>
      </c>
      <c r="AF14" s="111">
        <v>27090</v>
      </c>
      <c r="AG14" s="111">
        <f>+AF14</f>
        <v>27090</v>
      </c>
      <c r="AH14" s="111">
        <f t="shared" ref="AH14:AL14" si="17">+AG14*0.95</f>
        <v>25735.5</v>
      </c>
      <c r="AI14" s="111">
        <f t="shared" si="17"/>
        <v>24448.724999999999</v>
      </c>
      <c r="AJ14" s="111">
        <f t="shared" si="17"/>
        <v>23226.288749999996</v>
      </c>
      <c r="AK14" s="111">
        <f t="shared" si="17"/>
        <v>22064.974312499995</v>
      </c>
      <c r="AL14" s="111">
        <f t="shared" si="17"/>
        <v>20961.725596874996</v>
      </c>
    </row>
    <row r="15" spans="1:38" x14ac:dyDescent="0.25">
      <c r="A15" s="110">
        <f t="shared" si="15"/>
        <v>7</v>
      </c>
      <c r="B15" s="110" t="s">
        <v>19</v>
      </c>
      <c r="C15" s="111">
        <v>762</v>
      </c>
      <c r="D15" s="111">
        <v>787</v>
      </c>
      <c r="E15" s="111">
        <v>912</v>
      </c>
      <c r="F15" s="111">
        <v>896</v>
      </c>
      <c r="G15" s="111">
        <v>1020</v>
      </c>
      <c r="H15" s="111">
        <v>1270</v>
      </c>
      <c r="I15" s="111">
        <v>1230</v>
      </c>
      <c r="J15" s="111">
        <v>1160</v>
      </c>
      <c r="K15" s="111">
        <v>1290</v>
      </c>
      <c r="L15" s="111">
        <v>1667</v>
      </c>
      <c r="M15" s="111">
        <v>1966</v>
      </c>
      <c r="N15" s="111">
        <v>2575</v>
      </c>
      <c r="O15" s="111">
        <v>3158</v>
      </c>
      <c r="P15" s="111">
        <v>3580</v>
      </c>
      <c r="Q15" s="111">
        <v>2946</v>
      </c>
      <c r="R15" s="111">
        <v>3800</v>
      </c>
      <c r="S15" s="111">
        <v>4216</v>
      </c>
      <c r="T15" s="111">
        <v>4404</v>
      </c>
      <c r="U15" s="111">
        <v>4055</v>
      </c>
      <c r="V15" s="111">
        <v>4147</v>
      </c>
      <c r="W15" s="111">
        <v>4796</v>
      </c>
      <c r="X15" s="111">
        <v>5854</v>
      </c>
      <c r="Y15" s="111">
        <v>7302</v>
      </c>
      <c r="Z15" s="111">
        <v>9030</v>
      </c>
      <c r="AA15" s="111">
        <v>11171</v>
      </c>
      <c r="AB15" s="111">
        <v>12868</v>
      </c>
      <c r="AC15" s="111">
        <v>15785</v>
      </c>
      <c r="AD15" s="111">
        <v>17606</v>
      </c>
      <c r="AE15" s="111">
        <v>19409</v>
      </c>
      <c r="AF15" s="111">
        <v>21505</v>
      </c>
      <c r="AG15" s="111">
        <v>22601</v>
      </c>
      <c r="AH15" s="111">
        <f>+AG15*1.03</f>
        <v>23279.03</v>
      </c>
      <c r="AI15" s="111">
        <f>+AH15*1.03</f>
        <v>23977.400900000001</v>
      </c>
      <c r="AJ15" s="111">
        <f>+AI15*1.03</f>
        <v>24696.722927000003</v>
      </c>
      <c r="AK15" s="111">
        <f>+AJ15*1.03</f>
        <v>25437.624614810004</v>
      </c>
      <c r="AL15" s="111">
        <f>+AK15*1.03</f>
        <v>26200.753353254306</v>
      </c>
    </row>
    <row r="16" spans="1:38" x14ac:dyDescent="0.25">
      <c r="A16" s="110">
        <f t="shared" si="15"/>
        <v>8</v>
      </c>
      <c r="B16" s="337" t="s">
        <v>26</v>
      </c>
      <c r="C16" s="111">
        <v>419</v>
      </c>
      <c r="D16" s="111">
        <v>539</v>
      </c>
      <c r="E16" s="111">
        <v>598.92499999999995</v>
      </c>
      <c r="F16" s="111">
        <v>592.73599999999999</v>
      </c>
      <c r="G16" s="111">
        <v>847.6</v>
      </c>
      <c r="H16" s="111">
        <v>982</v>
      </c>
      <c r="I16" s="111">
        <v>1096</v>
      </c>
      <c r="J16" s="111">
        <v>1312</v>
      </c>
      <c r="K16" s="111">
        <v>1651</v>
      </c>
      <c r="L16" s="111">
        <v>1868</v>
      </c>
      <c r="M16" s="111">
        <v>2038</v>
      </c>
      <c r="N16" s="111">
        <f>+M16*1.1</f>
        <v>2241.8000000000002</v>
      </c>
      <c r="O16" s="111">
        <f>+N16*1.1</f>
        <v>2465.9800000000005</v>
      </c>
      <c r="P16" s="111">
        <f>+O16*1.1</f>
        <v>2712.5780000000009</v>
      </c>
      <c r="Q16" s="111">
        <v>3109</v>
      </c>
      <c r="R16" s="111">
        <v>3403</v>
      </c>
      <c r="S16" s="111">
        <v>3449</v>
      </c>
      <c r="T16" s="111">
        <v>3808</v>
      </c>
      <c r="U16" s="111">
        <v>3946</v>
      </c>
      <c r="V16" s="111">
        <v>4243</v>
      </c>
      <c r="W16" s="111">
        <v>4192</v>
      </c>
      <c r="X16" s="111">
        <v>4694</v>
      </c>
      <c r="Y16" s="111">
        <v>5196</v>
      </c>
      <c r="Z16" s="111">
        <v>6025</v>
      </c>
      <c r="AA16" s="111">
        <v>6784</v>
      </c>
      <c r="AB16" s="111">
        <v>7679</v>
      </c>
      <c r="AC16" s="111">
        <v>9633</v>
      </c>
      <c r="AD16" s="111">
        <v>12726</v>
      </c>
      <c r="AE16" s="111">
        <v>14368</v>
      </c>
      <c r="AF16" s="111">
        <v>16285</v>
      </c>
      <c r="AG16" s="111">
        <v>18184</v>
      </c>
      <c r="AH16" s="111">
        <f>+AG16</f>
        <v>18184</v>
      </c>
      <c r="AI16" s="111">
        <f>+AH16</f>
        <v>18184</v>
      </c>
      <c r="AJ16" s="111">
        <f>+AI16</f>
        <v>18184</v>
      </c>
      <c r="AK16" s="111">
        <f>+AJ16</f>
        <v>18184</v>
      </c>
      <c r="AL16" s="111">
        <f>+AK16</f>
        <v>18184</v>
      </c>
    </row>
    <row r="17" spans="1:38" x14ac:dyDescent="0.25">
      <c r="A17" s="110">
        <f t="shared" si="15"/>
        <v>9</v>
      </c>
      <c r="B17" s="110" t="s">
        <v>33</v>
      </c>
      <c r="C17" s="111">
        <v>0</v>
      </c>
      <c r="D17" s="111">
        <v>0</v>
      </c>
      <c r="E17" s="111">
        <v>0</v>
      </c>
      <c r="F17" s="111">
        <v>0</v>
      </c>
      <c r="G17" s="111">
        <v>0</v>
      </c>
      <c r="H17" s="111">
        <v>0</v>
      </c>
      <c r="I17" s="111">
        <v>0</v>
      </c>
      <c r="J17" s="111">
        <v>0</v>
      </c>
      <c r="K17" s="111">
        <v>0</v>
      </c>
      <c r="L17" s="111">
        <v>0</v>
      </c>
      <c r="M17" s="111">
        <v>0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</v>
      </c>
      <c r="V17" s="111">
        <v>40</v>
      </c>
      <c r="W17" s="111">
        <v>200</v>
      </c>
      <c r="X17" s="111">
        <v>450</v>
      </c>
      <c r="Y17" s="111">
        <v>1000</v>
      </c>
      <c r="Z17" s="111">
        <v>1500</v>
      </c>
      <c r="AA17" s="111">
        <v>2000</v>
      </c>
      <c r="AB17" s="111">
        <v>7400</v>
      </c>
      <c r="AC17" s="111">
        <v>12000</v>
      </c>
      <c r="AD17" s="111">
        <v>14400</v>
      </c>
      <c r="AE17" s="111">
        <v>16000</v>
      </c>
      <c r="AF17" s="111">
        <f>+AE17*1.05</f>
        <v>16800</v>
      </c>
      <c r="AG17" s="111">
        <f>+AF17*1.05</f>
        <v>17640</v>
      </c>
      <c r="AH17" s="111">
        <f>+AG17*1.1</f>
        <v>19404</v>
      </c>
      <c r="AI17" s="111">
        <f>+AH17*1.1</f>
        <v>21344.400000000001</v>
      </c>
      <c r="AJ17" s="111">
        <f>+AI17*1.1</f>
        <v>23478.840000000004</v>
      </c>
      <c r="AK17" s="111">
        <f>+AJ17*1.1</f>
        <v>25826.724000000006</v>
      </c>
      <c r="AL17" s="111">
        <f>+AK17*1.1</f>
        <v>28409.396400000009</v>
      </c>
    </row>
    <row r="18" spans="1:38" x14ac:dyDescent="0.25">
      <c r="A18" s="110">
        <f t="shared" si="15"/>
        <v>10</v>
      </c>
      <c r="B18" s="110" t="s">
        <v>389</v>
      </c>
      <c r="C18" s="111">
        <v>0</v>
      </c>
      <c r="D18" s="111">
        <v>0</v>
      </c>
      <c r="E18" s="111">
        <v>0</v>
      </c>
      <c r="F18" s="111">
        <v>0</v>
      </c>
      <c r="G18" s="111">
        <v>0</v>
      </c>
      <c r="H18" s="111">
        <v>0</v>
      </c>
      <c r="I18" s="111">
        <v>0</v>
      </c>
      <c r="J18" s="111">
        <v>0</v>
      </c>
      <c r="K18" s="111">
        <v>0</v>
      </c>
      <c r="L18" s="111">
        <v>0</v>
      </c>
      <c r="M18" s="111">
        <v>0</v>
      </c>
      <c r="N18" s="111">
        <v>0</v>
      </c>
      <c r="O18" s="111">
        <v>0</v>
      </c>
      <c r="P18" s="111">
        <v>0</v>
      </c>
      <c r="Q18" s="111">
        <v>0</v>
      </c>
      <c r="R18" s="111">
        <v>0</v>
      </c>
      <c r="S18" s="111">
        <v>0</v>
      </c>
      <c r="T18" s="111">
        <v>0</v>
      </c>
      <c r="U18" s="111">
        <v>0</v>
      </c>
      <c r="V18" s="111">
        <v>0</v>
      </c>
      <c r="W18" s="111">
        <v>0</v>
      </c>
      <c r="X18" s="111">
        <v>0</v>
      </c>
      <c r="Y18" s="111">
        <v>0</v>
      </c>
      <c r="Z18" s="111">
        <v>0</v>
      </c>
      <c r="AA18" s="111">
        <v>0</v>
      </c>
      <c r="AB18" s="111">
        <v>0</v>
      </c>
      <c r="AC18" s="111">
        <v>0</v>
      </c>
      <c r="AD18" s="111">
        <v>0</v>
      </c>
      <c r="AE18" s="111">
        <v>2000</v>
      </c>
      <c r="AF18" s="111">
        <v>10000</v>
      </c>
      <c r="AG18" s="111">
        <v>20000</v>
      </c>
      <c r="AH18" s="111">
        <f>+AG18*2</f>
        <v>40000</v>
      </c>
      <c r="AI18" s="111">
        <f>+AH18*2</f>
        <v>80000</v>
      </c>
      <c r="AJ18" s="111">
        <f>+AI18*1.5</f>
        <v>120000</v>
      </c>
      <c r="AK18" s="111">
        <f>+AJ18*1.5</f>
        <v>180000</v>
      </c>
      <c r="AL18" s="111">
        <f>+AK18*1.5</f>
        <v>270000</v>
      </c>
    </row>
    <row r="19" spans="1:38" x14ac:dyDescent="0.25">
      <c r="A19" s="110">
        <f t="shared" si="15"/>
        <v>11</v>
      </c>
      <c r="B19" s="110" t="s">
        <v>29</v>
      </c>
      <c r="C19" s="111">
        <v>0</v>
      </c>
      <c r="D19" s="111">
        <v>0</v>
      </c>
      <c r="E19" s="111">
        <v>0</v>
      </c>
      <c r="F19" s="111">
        <v>0</v>
      </c>
      <c r="G19" s="111">
        <v>0</v>
      </c>
      <c r="H19" s="111">
        <v>0</v>
      </c>
      <c r="I19" s="111">
        <v>0</v>
      </c>
      <c r="J19" s="111">
        <v>0</v>
      </c>
      <c r="K19" s="111">
        <v>0</v>
      </c>
      <c r="L19" s="111">
        <v>0</v>
      </c>
      <c r="M19" s="111">
        <v>0</v>
      </c>
      <c r="N19" s="111">
        <v>0</v>
      </c>
      <c r="O19" s="111">
        <v>13</v>
      </c>
      <c r="P19" s="111">
        <v>200</v>
      </c>
      <c r="Q19" s="111">
        <v>500</v>
      </c>
      <c r="R19" s="111">
        <v>43</v>
      </c>
      <c r="S19" s="111">
        <v>93</v>
      </c>
      <c r="T19" s="111">
        <v>244</v>
      </c>
      <c r="U19" s="111">
        <v>425</v>
      </c>
      <c r="V19" s="111">
        <v>683</v>
      </c>
      <c r="W19" s="111">
        <v>1005</v>
      </c>
      <c r="X19" s="111">
        <v>1391</v>
      </c>
      <c r="Y19" s="111">
        <v>1918</v>
      </c>
      <c r="Z19" s="111">
        <v>2609</v>
      </c>
      <c r="AA19" s="111">
        <v>3460</v>
      </c>
      <c r="AB19" s="111">
        <v>4519</v>
      </c>
      <c r="AC19" s="111">
        <v>5896</v>
      </c>
      <c r="AD19" s="111">
        <v>7245</v>
      </c>
      <c r="AE19" s="111">
        <v>8971</v>
      </c>
      <c r="AF19" s="111">
        <v>10984</v>
      </c>
      <c r="AG19" s="111">
        <v>12060</v>
      </c>
      <c r="AH19" s="111">
        <f>+AG19*0.9</f>
        <v>10854</v>
      </c>
      <c r="AI19" s="111">
        <f>+AH19*0.9</f>
        <v>9768.6</v>
      </c>
      <c r="AJ19" s="111">
        <f>+AI19*0.9</f>
        <v>8791.74</v>
      </c>
      <c r="AK19" s="111">
        <f t="shared" ref="AK19:AL19" si="18">+AJ19*0.9</f>
        <v>7912.5659999999998</v>
      </c>
      <c r="AL19" s="111">
        <f t="shared" si="18"/>
        <v>7121.3094000000001</v>
      </c>
    </row>
    <row r="20" spans="1:38" x14ac:dyDescent="0.25">
      <c r="A20" s="110">
        <f t="shared" si="15"/>
        <v>12</v>
      </c>
      <c r="B20" s="337" t="s">
        <v>746</v>
      </c>
      <c r="C20" s="111">
        <v>150</v>
      </c>
      <c r="D20" s="111">
        <v>1000</v>
      </c>
      <c r="E20" s="111">
        <v>2000</v>
      </c>
      <c r="F20" s="111">
        <v>3000</v>
      </c>
      <c r="G20" s="111">
        <v>4000</v>
      </c>
      <c r="H20" s="111">
        <v>5000</v>
      </c>
      <c r="I20" s="111">
        <v>5200</v>
      </c>
      <c r="J20" s="111">
        <v>5600</v>
      </c>
      <c r="K20" s="111">
        <v>6000</v>
      </c>
      <c r="L20" s="111">
        <v>6400</v>
      </c>
      <c r="M20" s="111">
        <f>+L20*1.03</f>
        <v>6592</v>
      </c>
      <c r="N20" s="111">
        <f>+M20*1.03</f>
        <v>6789.76</v>
      </c>
      <c r="O20" s="111">
        <f>+N20*1.03</f>
        <v>6993.4528</v>
      </c>
      <c r="P20" s="111">
        <f>+O20*1.03</f>
        <v>7203.2563840000003</v>
      </c>
      <c r="Q20" s="111">
        <f>+P20*1.03</f>
        <v>7419.3540755200002</v>
      </c>
      <c r="R20" s="111">
        <f>+Q20*1.03</f>
        <v>7641.9346977856003</v>
      </c>
      <c r="S20" s="111">
        <f>+R20*1.03</f>
        <v>7871.1927387191681</v>
      </c>
      <c r="T20" s="111">
        <v>7900</v>
      </c>
      <c r="U20" s="111">
        <f>+T20*1.05</f>
        <v>8295</v>
      </c>
      <c r="V20" s="111">
        <f>+U20*1.05</f>
        <v>8709.75</v>
      </c>
      <c r="W20" s="111">
        <f>+V20*1.05</f>
        <v>9145.2375000000011</v>
      </c>
      <c r="X20" s="111">
        <f>+W20*1.05</f>
        <v>9602.4993750000012</v>
      </c>
      <c r="Y20" s="111">
        <f>+X20*1.05</f>
        <v>10082.624343750002</v>
      </c>
      <c r="Z20" s="111">
        <v>10000</v>
      </c>
      <c r="AA20" s="111">
        <f>+Z20*1.03</f>
        <v>10300</v>
      </c>
      <c r="AB20" s="111">
        <f>+AA20*1.03</f>
        <v>10609</v>
      </c>
      <c r="AC20" s="111">
        <f>+AB20*1.03</f>
        <v>10927.27</v>
      </c>
      <c r="AD20" s="111">
        <f>+AC20*1.03</f>
        <v>11255.088100000001</v>
      </c>
      <c r="AE20" s="111">
        <f>+AD20*1.03</f>
        <v>11592.740743</v>
      </c>
      <c r="AF20" s="111">
        <f>+AE20*1.03</f>
        <v>11940.52296529</v>
      </c>
      <c r="AG20" s="111">
        <f>+AF20*1.03</f>
        <v>12298.7386542487</v>
      </c>
      <c r="AH20" s="111">
        <f t="shared" ref="AH20:AJ20" si="19">+AG20*0.9</f>
        <v>11068.86478882383</v>
      </c>
      <c r="AI20" s="111">
        <f t="shared" si="19"/>
        <v>9961.9783099414472</v>
      </c>
      <c r="AJ20" s="111">
        <f t="shared" si="19"/>
        <v>8965.780478947303</v>
      </c>
      <c r="AK20" s="111">
        <f t="shared" ref="AK20:AL20" si="20">+AJ20*0.9</f>
        <v>8069.202431052573</v>
      </c>
      <c r="AL20" s="111">
        <f t="shared" si="20"/>
        <v>7262.2821879473158</v>
      </c>
    </row>
    <row r="21" spans="1:38" x14ac:dyDescent="0.25">
      <c r="A21" s="110">
        <f t="shared" si="15"/>
        <v>13</v>
      </c>
      <c r="B21" s="112" t="s">
        <v>173</v>
      </c>
      <c r="C21" s="113">
        <v>0</v>
      </c>
      <c r="D21" s="113">
        <v>0</v>
      </c>
      <c r="E21" s="113">
        <v>0</v>
      </c>
      <c r="F21" s="113">
        <v>0</v>
      </c>
      <c r="G21" s="113">
        <v>0</v>
      </c>
      <c r="H21" s="113">
        <v>50</v>
      </c>
      <c r="I21" s="113">
        <v>80</v>
      </c>
      <c r="J21" s="113">
        <v>120</v>
      </c>
      <c r="K21" s="113">
        <v>160</v>
      </c>
      <c r="L21" s="113">
        <v>100</v>
      </c>
      <c r="M21" s="113">
        <v>160</v>
      </c>
      <c r="N21" s="113">
        <v>210</v>
      </c>
      <c r="O21" s="113">
        <v>240</v>
      </c>
      <c r="P21" s="113">
        <v>330</v>
      </c>
      <c r="Q21" s="113">
        <v>430</v>
      </c>
      <c r="R21" s="111">
        <v>630</v>
      </c>
      <c r="S21" s="111">
        <v>770</v>
      </c>
      <c r="T21" s="111">
        <v>890</v>
      </c>
      <c r="U21" s="111">
        <v>1210</v>
      </c>
      <c r="V21" s="111">
        <v>1660</v>
      </c>
      <c r="W21" s="111">
        <v>1830</v>
      </c>
      <c r="X21" s="111">
        <v>2120</v>
      </c>
      <c r="Y21" s="111">
        <v>2479</v>
      </c>
      <c r="Z21" s="111">
        <v>3061</v>
      </c>
      <c r="AA21" s="111">
        <v>3489</v>
      </c>
      <c r="AB21" s="111">
        <v>3969</v>
      </c>
      <c r="AC21" s="111">
        <v>5107</v>
      </c>
      <c r="AD21" s="111">
        <v>6622</v>
      </c>
      <c r="AE21" s="111">
        <v>8407</v>
      </c>
      <c r="AF21" s="111">
        <v>10066</v>
      </c>
      <c r="AG21" s="111">
        <v>10360</v>
      </c>
      <c r="AH21" s="111">
        <f t="shared" ref="AH21:AJ21" si="21">+AG21*0.9</f>
        <v>9324</v>
      </c>
      <c r="AI21" s="111">
        <f t="shared" si="21"/>
        <v>8391.6</v>
      </c>
      <c r="AJ21" s="111">
        <f t="shared" si="21"/>
        <v>7552.4400000000005</v>
      </c>
      <c r="AK21" s="111">
        <f t="shared" ref="AK21:AL21" si="22">+AJ21*0.9</f>
        <v>6797.1960000000008</v>
      </c>
      <c r="AL21" s="111">
        <f t="shared" si="22"/>
        <v>6117.4764000000005</v>
      </c>
    </row>
    <row r="22" spans="1:38" x14ac:dyDescent="0.25">
      <c r="A22" s="110">
        <f t="shared" si="15"/>
        <v>14</v>
      </c>
      <c r="B22" s="337" t="s">
        <v>46</v>
      </c>
      <c r="C22" s="111">
        <v>455</v>
      </c>
      <c r="D22" s="111">
        <v>534</v>
      </c>
      <c r="E22" s="111">
        <v>497</v>
      </c>
      <c r="F22" s="111">
        <v>769</v>
      </c>
      <c r="G22" s="111">
        <v>894</v>
      </c>
      <c r="H22" s="111">
        <v>848</v>
      </c>
      <c r="I22" s="111">
        <v>936</v>
      </c>
      <c r="J22" s="111">
        <v>947</v>
      </c>
      <c r="K22" s="111">
        <v>825</v>
      </c>
      <c r="L22" s="111">
        <v>952</v>
      </c>
      <c r="M22" s="111">
        <v>1234</v>
      </c>
      <c r="N22" s="111">
        <v>1480</v>
      </c>
      <c r="O22" s="111">
        <v>2170</v>
      </c>
      <c r="P22" s="111">
        <v>2310</v>
      </c>
      <c r="Q22" s="111">
        <v>1710</v>
      </c>
      <c r="R22" s="111">
        <v>1952</v>
      </c>
      <c r="S22" s="111">
        <v>2216</v>
      </c>
      <c r="T22" s="111">
        <v>2312</v>
      </c>
      <c r="U22" s="111">
        <v>2274</v>
      </c>
      <c r="V22" s="111">
        <v>2512</v>
      </c>
      <c r="W22" s="111">
        <v>2503</v>
      </c>
      <c r="X22" s="111">
        <v>2504</v>
      </c>
      <c r="Y22" s="111">
        <v>2031</v>
      </c>
      <c r="Z22" s="111">
        <v>2057</v>
      </c>
      <c r="AA22" s="111">
        <v>2570</v>
      </c>
      <c r="AB22" s="111">
        <v>3790</v>
      </c>
      <c r="AC22" s="111">
        <v>4386</v>
      </c>
      <c r="AD22" s="111">
        <v>4386</v>
      </c>
      <c r="AE22" s="111">
        <v>5005</v>
      </c>
      <c r="AF22" s="111">
        <v>5497</v>
      </c>
      <c r="AG22" s="111">
        <v>6131</v>
      </c>
      <c r="AH22" s="111">
        <f>+AG22</f>
        <v>6131</v>
      </c>
      <c r="AI22" s="111">
        <f>+AH22</f>
        <v>6131</v>
      </c>
      <c r="AJ22" s="111">
        <f>+AI22</f>
        <v>6131</v>
      </c>
      <c r="AK22" s="111">
        <f t="shared" ref="AK22:AL22" si="23">+AJ22</f>
        <v>6131</v>
      </c>
      <c r="AL22" s="111">
        <f t="shared" si="23"/>
        <v>6131</v>
      </c>
    </row>
    <row r="23" spans="1:38" x14ac:dyDescent="0.25">
      <c r="A23" s="110">
        <f t="shared" si="15"/>
        <v>15</v>
      </c>
      <c r="B23" s="110" t="s">
        <v>404</v>
      </c>
      <c r="C23" s="111">
        <v>742</v>
      </c>
      <c r="D23" s="111">
        <v>740</v>
      </c>
      <c r="E23" s="111">
        <v>910</v>
      </c>
      <c r="F23" s="111">
        <v>1260</v>
      </c>
      <c r="G23" s="111">
        <v>1090</v>
      </c>
      <c r="H23" s="111">
        <v>1270</v>
      </c>
      <c r="I23" s="111">
        <v>1430</v>
      </c>
      <c r="J23" s="111">
        <v>1290</v>
      </c>
      <c r="K23" s="111">
        <v>1120</v>
      </c>
      <c r="L23" s="111">
        <v>1190</v>
      </c>
      <c r="M23" s="111">
        <v>1320</v>
      </c>
      <c r="N23" s="111">
        <v>1480</v>
      </c>
      <c r="O23" s="111">
        <v>1610</v>
      </c>
      <c r="P23" s="111">
        <v>1030</v>
      </c>
      <c r="Q23" s="111">
        <v>853</v>
      </c>
      <c r="R23" s="111">
        <v>936</v>
      </c>
      <c r="S23" s="111">
        <v>1150</v>
      </c>
      <c r="T23" s="111">
        <v>1326</v>
      </c>
      <c r="U23" s="111">
        <v>1460</v>
      </c>
      <c r="V23" s="111">
        <v>1581</v>
      </c>
      <c r="W23" s="111">
        <v>1702</v>
      </c>
      <c r="X23" s="111">
        <v>1816</v>
      </c>
      <c r="Y23" s="111">
        <v>1943</v>
      </c>
      <c r="Z23" s="111">
        <v>2138</v>
      </c>
      <c r="AA23" s="111">
        <v>2336</v>
      </c>
      <c r="AB23" s="111">
        <v>2683</v>
      </c>
      <c r="AC23" s="111">
        <v>2988</v>
      </c>
      <c r="AD23" s="111">
        <v>3562</v>
      </c>
      <c r="AE23" s="111">
        <v>4090</v>
      </c>
      <c r="AF23" s="111">
        <v>4641</v>
      </c>
      <c r="AG23" s="111">
        <v>5089</v>
      </c>
      <c r="AH23" s="111">
        <f>+AG23</f>
        <v>5089</v>
      </c>
      <c r="AI23" s="111">
        <f>+AH23</f>
        <v>5089</v>
      </c>
      <c r="AJ23" s="111">
        <f>+AI23</f>
        <v>5089</v>
      </c>
      <c r="AK23" s="111">
        <f t="shared" ref="AK23:AL23" si="24">+AJ23</f>
        <v>5089</v>
      </c>
      <c r="AL23" s="111">
        <f t="shared" si="24"/>
        <v>5089</v>
      </c>
    </row>
    <row r="24" spans="1:38" x14ac:dyDescent="0.25">
      <c r="A24" s="110">
        <f t="shared" si="15"/>
        <v>16</v>
      </c>
      <c r="B24" s="110" t="s">
        <v>50</v>
      </c>
      <c r="C24" s="111">
        <v>0</v>
      </c>
      <c r="D24" s="111">
        <v>0</v>
      </c>
      <c r="E24" s="111">
        <v>0</v>
      </c>
      <c r="F24" s="111">
        <v>0</v>
      </c>
      <c r="G24" s="111">
        <v>0</v>
      </c>
      <c r="H24" s="111">
        <v>0</v>
      </c>
      <c r="I24" s="111">
        <v>0</v>
      </c>
      <c r="J24" s="111">
        <v>0</v>
      </c>
      <c r="K24" s="111">
        <v>0</v>
      </c>
      <c r="L24" s="111">
        <v>0</v>
      </c>
      <c r="M24" s="111">
        <v>0</v>
      </c>
      <c r="N24" s="111">
        <v>0</v>
      </c>
      <c r="O24" s="111">
        <v>0</v>
      </c>
      <c r="P24" s="111">
        <v>0</v>
      </c>
      <c r="Q24" s="111">
        <v>853</v>
      </c>
      <c r="R24" s="111">
        <v>936</v>
      </c>
      <c r="S24" s="111">
        <v>1150</v>
      </c>
      <c r="T24" s="111">
        <v>1326</v>
      </c>
      <c r="U24" s="111">
        <v>1460</v>
      </c>
      <c r="V24" s="111">
        <v>1581</v>
      </c>
      <c r="W24" s="111">
        <v>1702</v>
      </c>
      <c r="X24" s="111">
        <v>1816</v>
      </c>
      <c r="Y24" s="111">
        <v>1943</v>
      </c>
      <c r="Z24" s="111">
        <v>2138</v>
      </c>
      <c r="AA24" s="111">
        <v>2336</v>
      </c>
      <c r="AB24" s="111">
        <v>2683</v>
      </c>
      <c r="AC24" s="111">
        <v>2988</v>
      </c>
      <c r="AD24" s="111">
        <v>3562</v>
      </c>
      <c r="AE24" s="111">
        <v>4090</v>
      </c>
      <c r="AF24" s="111">
        <v>4641</v>
      </c>
      <c r="AG24" s="111">
        <v>5089</v>
      </c>
      <c r="AH24" s="111">
        <f>+AG24*0.9</f>
        <v>4580.1000000000004</v>
      </c>
      <c r="AI24" s="111">
        <f>+AH24*0.9</f>
        <v>4122.09</v>
      </c>
      <c r="AJ24" s="111">
        <f>+AI24*0.9</f>
        <v>3709.8810000000003</v>
      </c>
      <c r="AK24" s="111">
        <f t="shared" ref="AK24:AL24" si="25">+AJ24*0.9</f>
        <v>3338.8929000000003</v>
      </c>
      <c r="AL24" s="111">
        <f t="shared" si="25"/>
        <v>3005.0036100000002</v>
      </c>
    </row>
    <row r="25" spans="1:38" x14ac:dyDescent="0.25">
      <c r="A25" s="110">
        <f t="shared" si="15"/>
        <v>17</v>
      </c>
      <c r="B25" s="110" t="s">
        <v>40</v>
      </c>
      <c r="C25" s="111">
        <v>0</v>
      </c>
      <c r="D25" s="111">
        <v>0</v>
      </c>
      <c r="E25" s="111">
        <v>0</v>
      </c>
      <c r="F25" s="111">
        <v>0</v>
      </c>
      <c r="G25" s="111">
        <v>0</v>
      </c>
      <c r="H25" s="111">
        <v>0</v>
      </c>
      <c r="I25" s="111">
        <v>0</v>
      </c>
      <c r="J25" s="111">
        <v>1</v>
      </c>
      <c r="K25" s="111">
        <v>5</v>
      </c>
      <c r="L25" s="111">
        <v>15</v>
      </c>
      <c r="M25" s="111">
        <v>100</v>
      </c>
      <c r="N25" s="111">
        <v>149</v>
      </c>
      <c r="O25" s="111">
        <v>215</v>
      </c>
      <c r="P25" s="111">
        <v>320</v>
      </c>
      <c r="Q25" s="111">
        <v>457</v>
      </c>
      <c r="R25" s="111">
        <v>627</v>
      </c>
      <c r="S25" s="111">
        <v>771</v>
      </c>
      <c r="T25" s="111">
        <v>890</v>
      </c>
      <c r="U25" s="111">
        <f>+T25*1.12</f>
        <v>996.80000000000007</v>
      </c>
      <c r="V25" s="111">
        <f>+U25*1.12</f>
        <v>1116.4160000000002</v>
      </c>
      <c r="W25" s="111">
        <f>+V25*1.1</f>
        <v>1228.0576000000003</v>
      </c>
      <c r="X25" s="111">
        <f>+W25*1.1</f>
        <v>1350.8633600000005</v>
      </c>
      <c r="Y25" s="111">
        <f>+X25*1.1</f>
        <v>1485.9496960000006</v>
      </c>
      <c r="Z25" s="111">
        <f>+Y25*1.1</f>
        <v>1634.5446656000008</v>
      </c>
      <c r="AA25" s="111">
        <f>+Z25*1.1</f>
        <v>1797.999132160001</v>
      </c>
      <c r="AB25" s="111">
        <f>+AA25*1.1</f>
        <v>1977.7990453760012</v>
      </c>
      <c r="AC25" s="111">
        <v>2100</v>
      </c>
      <c r="AD25" s="111">
        <v>2803</v>
      </c>
      <c r="AE25" s="111">
        <v>3535</v>
      </c>
      <c r="AF25" s="111">
        <v>4359</v>
      </c>
      <c r="AG25" s="111">
        <v>4963</v>
      </c>
      <c r="AH25" s="111">
        <f>+AG25*0.9</f>
        <v>4466.7</v>
      </c>
      <c r="AI25" s="111">
        <f>+AH25*0.9</f>
        <v>4020.0299999999997</v>
      </c>
      <c r="AJ25" s="111">
        <f>+AI25*0.9</f>
        <v>3618.027</v>
      </c>
      <c r="AK25" s="111">
        <f t="shared" ref="AK25:AL25" si="26">+AJ25*0.9</f>
        <v>3256.2243000000003</v>
      </c>
      <c r="AL25" s="111">
        <f t="shared" si="26"/>
        <v>2930.6018700000004</v>
      </c>
    </row>
    <row r="26" spans="1:38" x14ac:dyDescent="0.25">
      <c r="A26" s="110">
        <f t="shared" si="15"/>
        <v>18</v>
      </c>
      <c r="B26" s="110" t="s">
        <v>294</v>
      </c>
      <c r="C26" s="111">
        <v>0</v>
      </c>
      <c r="D26" s="111">
        <v>0</v>
      </c>
      <c r="E26" s="111">
        <v>0</v>
      </c>
      <c r="F26" s="111">
        <v>0</v>
      </c>
      <c r="G26" s="111">
        <v>0</v>
      </c>
      <c r="H26" s="111">
        <v>0</v>
      </c>
      <c r="I26" s="111">
        <v>0</v>
      </c>
      <c r="J26" s="111">
        <v>0</v>
      </c>
      <c r="K26" s="111">
        <v>0</v>
      </c>
      <c r="L26" s="111">
        <v>0</v>
      </c>
      <c r="M26" s="111">
        <v>0</v>
      </c>
      <c r="N26" s="111">
        <v>0</v>
      </c>
      <c r="O26" s="111">
        <v>0</v>
      </c>
      <c r="P26" s="111">
        <v>0</v>
      </c>
      <c r="Q26" s="111">
        <v>0</v>
      </c>
      <c r="R26" s="111">
        <v>0</v>
      </c>
      <c r="S26" s="111">
        <v>0</v>
      </c>
      <c r="T26" s="111">
        <v>0</v>
      </c>
      <c r="U26" s="111">
        <v>0</v>
      </c>
      <c r="V26" s="111">
        <v>0</v>
      </c>
      <c r="W26" s="111">
        <v>0</v>
      </c>
      <c r="X26" s="111">
        <v>0</v>
      </c>
      <c r="Y26" s="111">
        <v>61</v>
      </c>
      <c r="Z26" s="111">
        <v>152</v>
      </c>
      <c r="AA26" s="111">
        <v>331</v>
      </c>
      <c r="AB26" s="111">
        <v>623</v>
      </c>
      <c r="AC26" s="111">
        <v>2651</v>
      </c>
      <c r="AD26" s="111">
        <v>4100</v>
      </c>
      <c r="AE26" s="111">
        <v>4393</v>
      </c>
      <c r="AF26" s="111">
        <v>4527</v>
      </c>
      <c r="AG26" s="111">
        <v>4665</v>
      </c>
      <c r="AH26" s="111">
        <f>+AG26*0.9</f>
        <v>4198.5</v>
      </c>
      <c r="AI26" s="111">
        <f>+AH26*0.9</f>
        <v>3778.65</v>
      </c>
      <c r="AJ26" s="111">
        <f>+AI26*0.9</f>
        <v>3400.7850000000003</v>
      </c>
      <c r="AK26" s="111">
        <f t="shared" ref="AK26:AL26" si="27">+AJ26*0.9</f>
        <v>3060.7065000000002</v>
      </c>
      <c r="AL26" s="111">
        <f t="shared" si="27"/>
        <v>2754.6358500000001</v>
      </c>
    </row>
    <row r="27" spans="1:38" x14ac:dyDescent="0.25">
      <c r="A27" s="110">
        <f t="shared" si="15"/>
        <v>19</v>
      </c>
      <c r="B27" s="337" t="s">
        <v>148</v>
      </c>
      <c r="C27" s="343">
        <v>0</v>
      </c>
      <c r="D27" s="343">
        <v>0</v>
      </c>
      <c r="E27" s="343">
        <v>0</v>
      </c>
      <c r="F27" s="343">
        <v>0</v>
      </c>
      <c r="G27" s="343">
        <v>0</v>
      </c>
      <c r="H27" s="343">
        <v>0</v>
      </c>
      <c r="I27" s="343">
        <v>0</v>
      </c>
      <c r="J27" s="343">
        <v>0</v>
      </c>
      <c r="K27" s="343">
        <v>0</v>
      </c>
      <c r="L27" s="343">
        <v>0</v>
      </c>
      <c r="M27" s="343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>
        <v>0</v>
      </c>
      <c r="X27" s="111">
        <v>0</v>
      </c>
      <c r="Y27" s="111">
        <v>0</v>
      </c>
      <c r="Z27" s="111">
        <v>595</v>
      </c>
      <c r="AA27" s="111">
        <v>743</v>
      </c>
      <c r="AB27" s="111">
        <v>1093</v>
      </c>
      <c r="AC27" s="111">
        <v>1542</v>
      </c>
      <c r="AD27" s="111">
        <v>1906</v>
      </c>
      <c r="AE27" s="111">
        <v>2225</v>
      </c>
      <c r="AF27" s="111">
        <v>2866</v>
      </c>
      <c r="AG27" s="111">
        <v>4000</v>
      </c>
      <c r="AH27" s="111">
        <f>+AG27*2</f>
        <v>8000</v>
      </c>
      <c r="AI27" s="111">
        <f>+AH27*2</f>
        <v>16000</v>
      </c>
      <c r="AJ27" s="111">
        <f>+AI27*2</f>
        <v>32000</v>
      </c>
      <c r="AK27" s="111">
        <f>+AJ27*2</f>
        <v>64000</v>
      </c>
      <c r="AL27" s="111">
        <f>+AK27*1.5</f>
        <v>96000</v>
      </c>
    </row>
    <row r="28" spans="1:38" x14ac:dyDescent="0.25">
      <c r="A28" s="110">
        <f t="shared" si="15"/>
        <v>20</v>
      </c>
      <c r="B28" s="111" t="s">
        <v>44</v>
      </c>
      <c r="C28" s="111">
        <v>0</v>
      </c>
      <c r="D28" s="111">
        <v>0</v>
      </c>
      <c r="E28" s="111">
        <v>0</v>
      </c>
      <c r="F28" s="111">
        <v>0</v>
      </c>
      <c r="G28" s="111">
        <v>0</v>
      </c>
      <c r="H28" s="111">
        <v>0</v>
      </c>
      <c r="I28" s="111">
        <v>0</v>
      </c>
      <c r="J28" s="111">
        <v>0</v>
      </c>
      <c r="K28" s="111">
        <v>0</v>
      </c>
      <c r="L28" s="111">
        <v>0</v>
      </c>
      <c r="M28" s="111">
        <v>0</v>
      </c>
      <c r="N28" s="111">
        <v>0</v>
      </c>
      <c r="O28" s="111">
        <v>0</v>
      </c>
      <c r="P28" s="111">
        <v>0</v>
      </c>
      <c r="Q28" s="111">
        <v>0</v>
      </c>
      <c r="R28" s="111">
        <v>0</v>
      </c>
      <c r="S28" s="111">
        <v>0</v>
      </c>
      <c r="T28" s="111">
        <v>0</v>
      </c>
      <c r="U28" s="111">
        <v>0</v>
      </c>
      <c r="V28" s="111">
        <v>0</v>
      </c>
      <c r="W28" s="111">
        <v>0</v>
      </c>
      <c r="X28" s="111">
        <v>0</v>
      </c>
      <c r="Y28" s="111">
        <v>0</v>
      </c>
      <c r="Z28" s="111">
        <v>0</v>
      </c>
      <c r="AA28" s="111">
        <v>100</v>
      </c>
      <c r="AB28" s="111">
        <v>265</v>
      </c>
      <c r="AC28" s="111">
        <v>592</v>
      </c>
      <c r="AD28" s="111">
        <v>1219</v>
      </c>
      <c r="AE28" s="111">
        <v>2066</v>
      </c>
      <c r="AF28" s="111">
        <v>2806</v>
      </c>
      <c r="AG28" s="111">
        <v>3626</v>
      </c>
      <c r="AH28" s="111">
        <f>+AG28*1.3</f>
        <v>4713.8</v>
      </c>
      <c r="AI28" s="111">
        <f>+AH28*1.3</f>
        <v>6127.9400000000005</v>
      </c>
      <c r="AJ28" s="111">
        <f>+AI28*1.3</f>
        <v>7966.322000000001</v>
      </c>
      <c r="AK28" s="111">
        <f>+AJ28*1.3</f>
        <v>10356.218600000002</v>
      </c>
      <c r="AL28" s="111">
        <f>+AK28*1.3</f>
        <v>13463.084180000003</v>
      </c>
    </row>
    <row r="29" spans="1:38" x14ac:dyDescent="0.25">
      <c r="A29" s="110">
        <f t="shared" si="15"/>
        <v>21</v>
      </c>
      <c r="B29" s="110" t="s">
        <v>171</v>
      </c>
      <c r="C29" s="111">
        <v>0</v>
      </c>
      <c r="D29" s="111">
        <v>0</v>
      </c>
      <c r="E29" s="111">
        <v>0</v>
      </c>
      <c r="F29" s="111">
        <v>0</v>
      </c>
      <c r="G29" s="111">
        <v>0</v>
      </c>
      <c r="H29" s="111">
        <v>0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1">
        <v>0</v>
      </c>
      <c r="V29" s="111">
        <v>0</v>
      </c>
      <c r="W29" s="111">
        <v>313</v>
      </c>
      <c r="X29" s="111">
        <v>409</v>
      </c>
      <c r="Y29" s="111">
        <v>551</v>
      </c>
      <c r="Z29" s="111">
        <v>691</v>
      </c>
      <c r="AA29" s="111">
        <v>862</v>
      </c>
      <c r="AB29" s="111">
        <v>1104</v>
      </c>
      <c r="AC29" s="111">
        <v>1465</v>
      </c>
      <c r="AD29" s="111">
        <v>1851</v>
      </c>
      <c r="AE29" s="111">
        <v>2155</v>
      </c>
      <c r="AF29" s="111">
        <v>2364</v>
      </c>
      <c r="AG29" s="111">
        <f>+AF29*1.1</f>
        <v>2600.4</v>
      </c>
      <c r="AH29" s="111">
        <f>+AG29*0.9</f>
        <v>2340.36</v>
      </c>
      <c r="AI29" s="111">
        <f t="shared" ref="AI29:AL29" si="28">+AH29*0.9</f>
        <v>2106.3240000000001</v>
      </c>
      <c r="AJ29" s="111">
        <f t="shared" si="28"/>
        <v>1895.6916000000001</v>
      </c>
      <c r="AK29" s="111">
        <f t="shared" si="28"/>
        <v>1706.1224400000001</v>
      </c>
      <c r="AL29" s="111">
        <f t="shared" si="28"/>
        <v>1535.5101960000002</v>
      </c>
    </row>
    <row r="30" spans="1:38" x14ac:dyDescent="0.25">
      <c r="A30" s="110">
        <f t="shared" si="15"/>
        <v>22</v>
      </c>
      <c r="B30" s="337" t="s">
        <v>261</v>
      </c>
      <c r="C30" s="111">
        <v>3900</v>
      </c>
      <c r="D30" s="111">
        <v>4390</v>
      </c>
      <c r="E30" s="111">
        <v>5190</v>
      </c>
      <c r="F30" s="111">
        <v>5820</v>
      </c>
      <c r="G30" s="111">
        <v>6270</v>
      </c>
      <c r="H30" s="111">
        <v>6990</v>
      </c>
      <c r="I30" s="111">
        <v>7040</v>
      </c>
      <c r="J30" s="111">
        <v>7360</v>
      </c>
      <c r="K30" s="111">
        <v>8050</v>
      </c>
      <c r="L30" s="111">
        <v>8460</v>
      </c>
      <c r="M30" s="111">
        <v>8640</v>
      </c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</row>
    <row r="31" spans="1:38" x14ac:dyDescent="0.25">
      <c r="A31" s="110">
        <f t="shared" si="15"/>
        <v>23</v>
      </c>
      <c r="B31" s="110" t="s">
        <v>52</v>
      </c>
      <c r="C31" s="111">
        <v>0</v>
      </c>
      <c r="D31" s="111">
        <v>0</v>
      </c>
      <c r="E31" s="111">
        <v>0</v>
      </c>
      <c r="F31" s="111">
        <v>0</v>
      </c>
      <c r="G31" s="111">
        <v>0</v>
      </c>
      <c r="H31" s="111">
        <v>0</v>
      </c>
      <c r="I31" s="111">
        <v>0</v>
      </c>
      <c r="J31" s="111">
        <v>0</v>
      </c>
      <c r="K31" s="111">
        <v>0</v>
      </c>
      <c r="L31" s="111">
        <v>0</v>
      </c>
      <c r="M31" s="111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>
        <v>0</v>
      </c>
      <c r="X31" s="111">
        <v>0</v>
      </c>
      <c r="Y31" s="111">
        <v>101</v>
      </c>
      <c r="Z31" s="111">
        <v>198</v>
      </c>
      <c r="AA31" s="111">
        <v>363</v>
      </c>
      <c r="AB31" s="111">
        <v>603</v>
      </c>
      <c r="AC31" s="111">
        <v>1029</v>
      </c>
      <c r="AD31" s="111">
        <v>1675</v>
      </c>
      <c r="AE31" s="111">
        <v>2128</v>
      </c>
      <c r="AF31" s="111">
        <v>2684</v>
      </c>
      <c r="AG31" s="111">
        <v>2830</v>
      </c>
      <c r="AH31" s="111">
        <f t="shared" ref="AH31:AL31" si="29">+AG31*0.9</f>
        <v>2547</v>
      </c>
      <c r="AI31" s="111">
        <f t="shared" si="29"/>
        <v>2292.3000000000002</v>
      </c>
      <c r="AJ31" s="111">
        <f t="shared" si="29"/>
        <v>2063.0700000000002</v>
      </c>
      <c r="AK31" s="111">
        <f t="shared" si="29"/>
        <v>1856.7630000000001</v>
      </c>
      <c r="AL31" s="111">
        <f t="shared" si="29"/>
        <v>1671.0867000000001</v>
      </c>
    </row>
    <row r="32" spans="1:38" x14ac:dyDescent="0.25">
      <c r="A32" s="110">
        <f t="shared" si="15"/>
        <v>24</v>
      </c>
      <c r="B32" s="337" t="s">
        <v>409</v>
      </c>
      <c r="C32" s="111">
        <v>575</v>
      </c>
      <c r="D32" s="111">
        <f>+C32*1.3</f>
        <v>747.5</v>
      </c>
      <c r="E32" s="111">
        <f>+D32*1.3</f>
        <v>971.75</v>
      </c>
      <c r="F32" s="111">
        <f>+E32*1.3</f>
        <v>1263.2750000000001</v>
      </c>
      <c r="G32" s="111">
        <v>1429.146</v>
      </c>
      <c r="H32" s="111">
        <v>1736.473</v>
      </c>
      <c r="I32" s="111">
        <v>2073.2530000000002</v>
      </c>
      <c r="J32" s="111">
        <v>2200</v>
      </c>
      <c r="K32" s="111">
        <v>2500</v>
      </c>
      <c r="L32" s="111">
        <v>2800</v>
      </c>
      <c r="M32" s="111">
        <v>0</v>
      </c>
      <c r="N32" s="111">
        <v>0</v>
      </c>
      <c r="O32" s="111">
        <v>0</v>
      </c>
      <c r="P32" s="111">
        <v>0</v>
      </c>
      <c r="Q32" s="111">
        <v>0</v>
      </c>
      <c r="R32" s="111">
        <v>0</v>
      </c>
      <c r="S32" s="111">
        <v>0</v>
      </c>
      <c r="T32" s="111">
        <v>0</v>
      </c>
      <c r="U32" s="111">
        <v>0</v>
      </c>
      <c r="V32" s="111">
        <v>0</v>
      </c>
      <c r="W32" s="111">
        <v>0</v>
      </c>
      <c r="X32" s="111">
        <v>0</v>
      </c>
      <c r="Y32" s="111">
        <v>0</v>
      </c>
      <c r="Z32" s="111">
        <v>0</v>
      </c>
      <c r="AA32" s="111">
        <v>0</v>
      </c>
      <c r="AB32" s="111">
        <v>0</v>
      </c>
      <c r="AC32" s="111">
        <v>0</v>
      </c>
      <c r="AD32" s="111">
        <v>0</v>
      </c>
      <c r="AE32" s="111">
        <v>0</v>
      </c>
      <c r="AF32" s="111">
        <v>0</v>
      </c>
      <c r="AG32" s="111">
        <v>0</v>
      </c>
      <c r="AH32" s="111">
        <v>0</v>
      </c>
      <c r="AI32" s="111">
        <v>0</v>
      </c>
      <c r="AJ32" s="111">
        <v>0</v>
      </c>
      <c r="AK32" s="111">
        <v>0</v>
      </c>
      <c r="AL32" s="111">
        <v>0</v>
      </c>
    </row>
    <row r="33" spans="1:38" x14ac:dyDescent="0.25">
      <c r="A33" s="110">
        <f t="shared" si="15"/>
        <v>25</v>
      </c>
      <c r="B33" s="337" t="s">
        <v>410</v>
      </c>
      <c r="C33" s="343">
        <v>39</v>
      </c>
      <c r="D33" s="343">
        <v>126</v>
      </c>
      <c r="E33" s="343">
        <v>403</v>
      </c>
      <c r="F33" s="343">
        <v>790</v>
      </c>
      <c r="G33" s="343">
        <v>1449</v>
      </c>
      <c r="H33" s="343">
        <v>2048</v>
      </c>
      <c r="I33" s="111">
        <v>2049</v>
      </c>
      <c r="J33" s="111">
        <v>883</v>
      </c>
      <c r="K33" s="111">
        <v>666</v>
      </c>
      <c r="L33" s="111">
        <v>1340</v>
      </c>
      <c r="M33" s="343">
        <v>1799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0</v>
      </c>
      <c r="W33" s="111">
        <v>0</v>
      </c>
      <c r="X33" s="111">
        <v>0</v>
      </c>
      <c r="Y33" s="111">
        <v>0</v>
      </c>
      <c r="Z33" s="111">
        <v>0</v>
      </c>
      <c r="AA33" s="111">
        <v>0</v>
      </c>
      <c r="AB33" s="111">
        <v>0</v>
      </c>
      <c r="AC33" s="111">
        <v>0</v>
      </c>
      <c r="AD33" s="111">
        <v>0</v>
      </c>
      <c r="AE33" s="111">
        <v>0</v>
      </c>
      <c r="AF33" s="111">
        <v>0</v>
      </c>
      <c r="AG33" s="111">
        <v>0</v>
      </c>
      <c r="AH33" s="111">
        <v>0</v>
      </c>
      <c r="AI33" s="111">
        <v>0</v>
      </c>
      <c r="AJ33" s="111">
        <v>0</v>
      </c>
      <c r="AK33" s="111">
        <v>0</v>
      </c>
      <c r="AL33" s="111">
        <v>0</v>
      </c>
    </row>
    <row r="34" spans="1:38" x14ac:dyDescent="0.25">
      <c r="A34" s="110">
        <f t="shared" si="15"/>
        <v>26</v>
      </c>
      <c r="B34" s="337" t="s">
        <v>341</v>
      </c>
      <c r="C34" s="111">
        <v>0</v>
      </c>
      <c r="D34" s="111">
        <v>0</v>
      </c>
      <c r="E34" s="111">
        <v>0</v>
      </c>
      <c r="F34" s="111">
        <v>0</v>
      </c>
      <c r="G34" s="111">
        <v>0</v>
      </c>
      <c r="H34" s="111">
        <v>0</v>
      </c>
      <c r="I34" s="111">
        <v>0</v>
      </c>
      <c r="J34" s="111">
        <v>0</v>
      </c>
      <c r="K34" s="111">
        <v>0</v>
      </c>
      <c r="L34" s="111">
        <v>0</v>
      </c>
      <c r="M34" s="111">
        <v>0</v>
      </c>
      <c r="N34" s="111">
        <v>0</v>
      </c>
      <c r="O34" s="111">
        <v>0</v>
      </c>
      <c r="P34" s="111">
        <v>0</v>
      </c>
      <c r="Q34" s="111">
        <v>0</v>
      </c>
      <c r="R34" s="111">
        <v>0</v>
      </c>
      <c r="S34" s="111">
        <v>0</v>
      </c>
      <c r="T34" s="111">
        <v>0</v>
      </c>
      <c r="U34" s="111">
        <v>0</v>
      </c>
      <c r="V34" s="111">
        <v>0</v>
      </c>
      <c r="W34" s="111">
        <v>0</v>
      </c>
      <c r="X34" s="111">
        <v>0</v>
      </c>
      <c r="Y34" s="111">
        <v>0</v>
      </c>
      <c r="Z34" s="111">
        <v>381</v>
      </c>
      <c r="AA34" s="111">
        <v>542</v>
      </c>
      <c r="AB34" s="111">
        <v>772</v>
      </c>
      <c r="AC34" s="111">
        <v>1111</v>
      </c>
      <c r="AD34" s="111">
        <v>1391</v>
      </c>
      <c r="AE34" s="111">
        <v>2187</v>
      </c>
      <c r="AF34" s="111">
        <v>1813</v>
      </c>
      <c r="AG34" s="111">
        <v>1780</v>
      </c>
      <c r="AH34" s="111">
        <f>+AG34*1.03</f>
        <v>1833.4</v>
      </c>
      <c r="AI34" s="111">
        <f>+AH34*1.03</f>
        <v>1888.402</v>
      </c>
      <c r="AJ34" s="111">
        <f>+AI34*1.03</f>
        <v>1945.0540600000002</v>
      </c>
      <c r="AK34" s="111">
        <f>+AJ34*1.03</f>
        <v>2003.4056818000001</v>
      </c>
      <c r="AL34" s="111">
        <f>+AK34*1.03</f>
        <v>2063.5078522540002</v>
      </c>
    </row>
    <row r="35" spans="1:38" x14ac:dyDescent="0.25">
      <c r="A35" s="110">
        <f t="shared" si="15"/>
        <v>27</v>
      </c>
      <c r="B35" s="337" t="s">
        <v>747</v>
      </c>
      <c r="C35" s="337">
        <v>0</v>
      </c>
      <c r="D35" s="337">
        <v>0</v>
      </c>
      <c r="E35" s="337">
        <v>0</v>
      </c>
      <c r="F35" s="337">
        <v>0</v>
      </c>
      <c r="G35" s="337">
        <v>0</v>
      </c>
      <c r="H35" s="111">
        <v>0</v>
      </c>
      <c r="I35" s="111">
        <v>0</v>
      </c>
      <c r="J35" s="111">
        <v>0</v>
      </c>
      <c r="K35" s="111">
        <v>0</v>
      </c>
      <c r="L35" s="111">
        <v>0</v>
      </c>
      <c r="M35" s="111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>
        <v>0</v>
      </c>
      <c r="X35" s="111">
        <v>0</v>
      </c>
      <c r="Y35" s="111">
        <v>0</v>
      </c>
      <c r="Z35" s="111">
        <v>0</v>
      </c>
      <c r="AA35" s="111">
        <v>0</v>
      </c>
      <c r="AB35" s="111">
        <v>88</v>
      </c>
      <c r="AC35" s="111">
        <v>250</v>
      </c>
      <c r="AD35" s="111">
        <v>438</v>
      </c>
      <c r="AE35" s="111">
        <v>468</v>
      </c>
      <c r="AF35" s="111">
        <v>614</v>
      </c>
      <c r="AG35" s="111">
        <v>772</v>
      </c>
      <c r="AH35" s="111">
        <f>+AG35*1.03</f>
        <v>795.16</v>
      </c>
      <c r="AI35" s="111">
        <f t="shared" ref="AI35:AL35" si="30">+AH35*1.03</f>
        <v>819.01480000000004</v>
      </c>
      <c r="AJ35" s="111">
        <f t="shared" si="30"/>
        <v>843.5852440000001</v>
      </c>
      <c r="AK35" s="111">
        <f t="shared" si="30"/>
        <v>868.8928013200001</v>
      </c>
      <c r="AL35" s="111">
        <f t="shared" si="30"/>
        <v>894.95958535960017</v>
      </c>
    </row>
    <row r="36" spans="1:38" x14ac:dyDescent="0.25">
      <c r="A36" s="110">
        <f t="shared" si="15"/>
        <v>28</v>
      </c>
      <c r="B36" s="337" t="s">
        <v>176</v>
      </c>
      <c r="C36" s="337">
        <f>+H36</f>
        <v>590</v>
      </c>
      <c r="D36" s="337">
        <f>+C36</f>
        <v>590</v>
      </c>
      <c r="E36" s="337">
        <f>+D36</f>
        <v>590</v>
      </c>
      <c r="F36" s="337">
        <f>+E36</f>
        <v>590</v>
      </c>
      <c r="G36" s="337">
        <f>+F36</f>
        <v>590</v>
      </c>
      <c r="H36" s="337">
        <v>590</v>
      </c>
      <c r="I36" s="337">
        <v>630</v>
      </c>
      <c r="J36" s="337">
        <v>750</v>
      </c>
      <c r="K36" s="337">
        <v>880</v>
      </c>
      <c r="L36" s="337">
        <v>1000</v>
      </c>
      <c r="M36" s="111">
        <v>1130</v>
      </c>
      <c r="N36" s="111">
        <v>1460</v>
      </c>
      <c r="O36" s="111">
        <v>1750</v>
      </c>
      <c r="P36" s="111">
        <v>1980</v>
      </c>
      <c r="Q36" s="111">
        <v>1746</v>
      </c>
      <c r="R36" s="111">
        <v>2077</v>
      </c>
      <c r="S36" s="111">
        <v>2483</v>
      </c>
      <c r="T36" s="111">
        <v>2609</v>
      </c>
      <c r="U36" s="111">
        <v>2744</v>
      </c>
      <c r="V36" s="111">
        <v>2980</v>
      </c>
      <c r="W36" s="111">
        <v>3120</v>
      </c>
      <c r="X36" s="111">
        <v>3361</v>
      </c>
      <c r="Y36" s="111">
        <v>3700</v>
      </c>
      <c r="Z36" s="111">
        <v>4160</v>
      </c>
      <c r="AA36" s="111">
        <v>4490</v>
      </c>
      <c r="AB36" s="111">
        <v>5086</v>
      </c>
      <c r="AC36" s="111">
        <v>5750</v>
      </c>
      <c r="AD36" s="111">
        <v>5969</v>
      </c>
      <c r="AE36" s="111">
        <v>6441</v>
      </c>
      <c r="AF36" s="111">
        <v>6724</v>
      </c>
      <c r="AG36" s="111">
        <v>6950</v>
      </c>
      <c r="AH36" s="111"/>
      <c r="AI36" s="111"/>
      <c r="AJ36" s="111"/>
    </row>
    <row r="37" spans="1:38" x14ac:dyDescent="0.25">
      <c r="A37" s="110">
        <f t="shared" si="15"/>
        <v>29</v>
      </c>
      <c r="B37" s="337" t="s">
        <v>432</v>
      </c>
      <c r="C37" s="337"/>
      <c r="D37" s="337"/>
      <c r="E37" s="337"/>
      <c r="F37" s="337"/>
      <c r="G37" s="337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</row>
    <row r="38" spans="1:38" x14ac:dyDescent="0.25">
      <c r="A38" s="110">
        <f t="shared" si="15"/>
        <v>30</v>
      </c>
      <c r="B38" s="337" t="s">
        <v>311</v>
      </c>
      <c r="C38" s="337"/>
      <c r="D38" s="337"/>
      <c r="E38" s="337"/>
      <c r="F38" s="337"/>
      <c r="G38" s="337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</row>
    <row r="39" spans="1:38" x14ac:dyDescent="0.25">
      <c r="A39" s="110">
        <f t="shared" si="15"/>
        <v>31</v>
      </c>
      <c r="B39" s="337" t="s">
        <v>68</v>
      </c>
      <c r="C39" s="337">
        <v>0</v>
      </c>
      <c r="D39" s="337">
        <v>0</v>
      </c>
      <c r="E39" s="337">
        <v>0</v>
      </c>
      <c r="F39" s="337">
        <v>0</v>
      </c>
      <c r="G39" s="337">
        <v>0</v>
      </c>
      <c r="H39" s="337">
        <v>0</v>
      </c>
      <c r="I39" s="337">
        <v>0</v>
      </c>
      <c r="J39" s="337">
        <v>0</v>
      </c>
      <c r="K39" s="337">
        <v>0</v>
      </c>
      <c r="L39" s="337">
        <v>0</v>
      </c>
      <c r="M39" s="337">
        <v>0</v>
      </c>
      <c r="N39" s="337">
        <v>0</v>
      </c>
      <c r="O39" s="337">
        <v>0</v>
      </c>
      <c r="P39" s="337">
        <v>0</v>
      </c>
      <c r="Q39" s="337">
        <v>0</v>
      </c>
      <c r="R39" s="111">
        <v>15</v>
      </c>
      <c r="S39" s="111">
        <v>29</v>
      </c>
      <c r="T39" s="111">
        <v>52</v>
      </c>
      <c r="U39" s="111">
        <v>78</v>
      </c>
      <c r="V39" s="111">
        <v>116</v>
      </c>
      <c r="W39" s="111">
        <v>182</v>
      </c>
      <c r="X39" s="111">
        <v>271</v>
      </c>
      <c r="Y39" s="111">
        <v>376</v>
      </c>
      <c r="Z39" s="111">
        <v>513</v>
      </c>
      <c r="AA39" s="111">
        <v>675</v>
      </c>
      <c r="AB39" s="111">
        <v>883</v>
      </c>
      <c r="AC39" s="111">
        <v>1301</v>
      </c>
      <c r="AD39" s="111">
        <v>1731</v>
      </c>
      <c r="AE39" s="111">
        <v>2170</v>
      </c>
      <c r="AF39" s="111">
        <v>2628</v>
      </c>
      <c r="AG39" s="111">
        <v>2848</v>
      </c>
      <c r="AH39" s="111">
        <f>+AG39*0.95</f>
        <v>2705.6</v>
      </c>
      <c r="AI39" s="111">
        <f>+AH39*0.95</f>
        <v>2570.3199999999997</v>
      </c>
      <c r="AJ39" s="111">
        <f>+AI39*0.95</f>
        <v>2441.8039999999996</v>
      </c>
      <c r="AK39" s="111">
        <f>+AJ39*0.95</f>
        <v>2319.7137999999995</v>
      </c>
      <c r="AL39" s="111">
        <f>+AK39*0.95</f>
        <v>2203.7281099999996</v>
      </c>
    </row>
    <row r="40" spans="1:38" x14ac:dyDescent="0.25">
      <c r="A40" s="110">
        <f t="shared" si="15"/>
        <v>32</v>
      </c>
      <c r="B40" s="337" t="s">
        <v>772</v>
      </c>
      <c r="C40" s="337">
        <v>0</v>
      </c>
      <c r="D40" s="337">
        <v>0</v>
      </c>
      <c r="E40" s="337">
        <v>0</v>
      </c>
      <c r="F40" s="337">
        <v>0</v>
      </c>
      <c r="G40" s="337">
        <v>0</v>
      </c>
      <c r="H40" s="337">
        <v>0</v>
      </c>
      <c r="I40" s="337">
        <v>0</v>
      </c>
      <c r="J40" s="337">
        <v>0</v>
      </c>
      <c r="K40" s="337">
        <v>0</v>
      </c>
      <c r="L40" s="337">
        <v>0</v>
      </c>
      <c r="M40" s="337">
        <v>0</v>
      </c>
      <c r="N40" s="337">
        <v>0</v>
      </c>
      <c r="O40" s="337">
        <v>0</v>
      </c>
      <c r="P40" s="337">
        <v>0</v>
      </c>
      <c r="Q40" s="337">
        <v>0</v>
      </c>
      <c r="R40" s="337">
        <v>0</v>
      </c>
      <c r="S40" s="337">
        <v>0</v>
      </c>
      <c r="T40" s="337">
        <v>0</v>
      </c>
      <c r="U40" s="337">
        <v>0</v>
      </c>
      <c r="V40" s="337">
        <v>0</v>
      </c>
      <c r="W40" s="337">
        <v>0</v>
      </c>
      <c r="X40" s="337">
        <v>0</v>
      </c>
      <c r="Y40" s="337">
        <v>0</v>
      </c>
      <c r="Z40" s="337">
        <v>0</v>
      </c>
      <c r="AA40" s="337">
        <v>0</v>
      </c>
      <c r="AB40" s="111">
        <v>81</v>
      </c>
      <c r="AC40" s="111">
        <v>152</v>
      </c>
      <c r="AD40" s="111">
        <v>253</v>
      </c>
      <c r="AE40" s="111">
        <v>424</v>
      </c>
      <c r="AF40" s="111">
        <v>580</v>
      </c>
      <c r="AG40" s="111">
        <v>759</v>
      </c>
      <c r="AH40" s="111">
        <f>+AG40*1.01</f>
        <v>766.59</v>
      </c>
      <c r="AI40" s="111">
        <f>+AH40*1.01</f>
        <v>774.2559</v>
      </c>
      <c r="AJ40" s="111">
        <f>+AI40*1.01</f>
        <v>781.99845900000003</v>
      </c>
      <c r="AK40" s="111">
        <f>+AJ40*1.01</f>
        <v>789.81844359000002</v>
      </c>
      <c r="AL40" s="111">
        <f>+AK40*1.01</f>
        <v>797.71662802590004</v>
      </c>
    </row>
    <row r="41" spans="1:38" x14ac:dyDescent="0.25">
      <c r="A41" s="110">
        <f t="shared" si="15"/>
        <v>33</v>
      </c>
      <c r="B41" s="337" t="s">
        <v>123</v>
      </c>
      <c r="C41" s="337"/>
      <c r="D41" s="337"/>
      <c r="E41" s="337"/>
      <c r="F41" s="337"/>
      <c r="G41" s="337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</row>
    <row r="42" spans="1:38" x14ac:dyDescent="0.25">
      <c r="A42" s="110">
        <f t="shared" si="15"/>
        <v>34</v>
      </c>
      <c r="B42" s="337" t="s">
        <v>748</v>
      </c>
      <c r="C42" s="337"/>
      <c r="D42" s="337"/>
      <c r="E42" s="337"/>
      <c r="F42" s="337"/>
      <c r="G42" s="337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</row>
    <row r="43" spans="1:38" x14ac:dyDescent="0.25">
      <c r="A43" s="110">
        <f t="shared" si="15"/>
        <v>35</v>
      </c>
      <c r="B43" s="337" t="s">
        <v>521</v>
      </c>
      <c r="C43" s="337"/>
      <c r="D43" s="337"/>
      <c r="E43" s="337"/>
      <c r="F43" s="337"/>
      <c r="G43" s="337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</row>
    <row r="44" spans="1:38" x14ac:dyDescent="0.25">
      <c r="A44" s="110">
        <f t="shared" si="15"/>
        <v>36</v>
      </c>
      <c r="B44" s="337" t="s">
        <v>591</v>
      </c>
      <c r="C44" s="337"/>
      <c r="D44" s="337"/>
      <c r="E44" s="337"/>
      <c r="F44" s="337"/>
      <c r="G44" s="337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</row>
    <row r="45" spans="1:38" x14ac:dyDescent="0.25">
      <c r="A45" s="110">
        <f t="shared" si="15"/>
        <v>37</v>
      </c>
      <c r="B45" s="337" t="s">
        <v>140</v>
      </c>
      <c r="C45" s="337"/>
      <c r="D45" s="337"/>
      <c r="E45" s="337"/>
      <c r="F45" s="337"/>
      <c r="G45" s="337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>
        <v>5000</v>
      </c>
      <c r="AH45" s="111">
        <v>15000</v>
      </c>
      <c r="AI45" s="111">
        <f>+AH45*2</f>
        <v>30000</v>
      </c>
      <c r="AJ45" s="111">
        <f>+AI45*2</f>
        <v>60000</v>
      </c>
      <c r="AK45" s="111">
        <f>+AJ45*1.5</f>
        <v>90000</v>
      </c>
      <c r="AL45" s="111">
        <f>+AK45*1.5</f>
        <v>135000</v>
      </c>
    </row>
    <row r="46" spans="1:38" x14ac:dyDescent="0.25">
      <c r="A46" s="110">
        <f t="shared" si="15"/>
        <v>38</v>
      </c>
      <c r="B46" s="337" t="s">
        <v>393</v>
      </c>
      <c r="C46" s="337"/>
      <c r="D46" s="337"/>
      <c r="E46" s="337"/>
      <c r="F46" s="337"/>
      <c r="G46" s="337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</row>
    <row r="47" spans="1:38" x14ac:dyDescent="0.25">
      <c r="A47" s="110">
        <f t="shared" si="15"/>
        <v>39</v>
      </c>
      <c r="B47" s="337" t="s">
        <v>749</v>
      </c>
      <c r="C47" s="337"/>
      <c r="D47" s="337"/>
      <c r="E47" s="337"/>
      <c r="F47" s="337"/>
      <c r="G47" s="337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</row>
    <row r="48" spans="1:38" x14ac:dyDescent="0.25">
      <c r="A48" s="110">
        <f t="shared" si="15"/>
        <v>40</v>
      </c>
      <c r="B48" s="337" t="s">
        <v>750</v>
      </c>
      <c r="C48" s="337"/>
      <c r="D48" s="337"/>
      <c r="E48" s="337"/>
      <c r="F48" s="337"/>
      <c r="G48" s="337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</row>
    <row r="49" spans="1:36" x14ac:dyDescent="0.25">
      <c r="A49" s="110">
        <f t="shared" si="15"/>
        <v>41</v>
      </c>
      <c r="B49" s="337" t="s">
        <v>751</v>
      </c>
      <c r="C49" s="337"/>
      <c r="D49" s="337"/>
      <c r="E49" s="337"/>
      <c r="F49" s="337"/>
      <c r="G49" s="337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</row>
    <row r="50" spans="1:36" x14ac:dyDescent="0.25">
      <c r="A50" s="110">
        <f t="shared" si="15"/>
        <v>42</v>
      </c>
      <c r="B50" s="337" t="s">
        <v>752</v>
      </c>
      <c r="C50" s="337"/>
      <c r="D50" s="337"/>
      <c r="E50" s="337"/>
      <c r="F50" s="337"/>
      <c r="G50" s="337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</row>
    <row r="51" spans="1:36" x14ac:dyDescent="0.25">
      <c r="A51" s="110">
        <f t="shared" si="15"/>
        <v>43</v>
      </c>
      <c r="B51" s="337" t="s">
        <v>218</v>
      </c>
      <c r="C51" s="337"/>
      <c r="D51" s="337"/>
      <c r="E51" s="337"/>
      <c r="F51" s="337"/>
      <c r="G51" s="337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</row>
    <row r="52" spans="1:36" x14ac:dyDescent="0.25">
      <c r="A52" s="110">
        <f t="shared" si="15"/>
        <v>44</v>
      </c>
      <c r="B52" s="337" t="s">
        <v>92</v>
      </c>
      <c r="C52" s="337"/>
      <c r="D52" s="337"/>
      <c r="E52" s="337"/>
      <c r="F52" s="337"/>
      <c r="G52" s="337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</row>
    <row r="53" spans="1:36" x14ac:dyDescent="0.25">
      <c r="A53" s="110">
        <f t="shared" si="15"/>
        <v>45</v>
      </c>
      <c r="B53" s="337" t="s">
        <v>753</v>
      </c>
      <c r="C53" s="337"/>
      <c r="D53" s="337"/>
      <c r="E53" s="337"/>
      <c r="F53" s="337"/>
      <c r="G53" s="337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</row>
    <row r="54" spans="1:36" x14ac:dyDescent="0.25">
      <c r="A54" s="110">
        <f t="shared" si="15"/>
        <v>46</v>
      </c>
      <c r="B54" s="337" t="s">
        <v>392</v>
      </c>
      <c r="C54" s="337"/>
      <c r="D54" s="337"/>
      <c r="E54" s="337"/>
      <c r="F54" s="337"/>
      <c r="G54" s="337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</row>
    <row r="55" spans="1:36" x14ac:dyDescent="0.25">
      <c r="A55" s="110">
        <f t="shared" si="15"/>
        <v>47</v>
      </c>
      <c r="B55" s="337" t="s">
        <v>754</v>
      </c>
      <c r="C55" s="337"/>
      <c r="D55" s="337"/>
      <c r="E55" s="337"/>
      <c r="F55" s="337"/>
      <c r="G55" s="337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</row>
    <row r="56" spans="1:36" x14ac:dyDescent="0.25">
      <c r="A56" s="110">
        <f t="shared" si="15"/>
        <v>48</v>
      </c>
      <c r="B56" s="337" t="s">
        <v>755</v>
      </c>
      <c r="C56" s="337"/>
      <c r="D56" s="337"/>
      <c r="E56" s="337"/>
      <c r="F56" s="337"/>
      <c r="G56" s="337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D56" s="111"/>
      <c r="AE56" s="111"/>
      <c r="AF56" s="111"/>
      <c r="AG56" s="111"/>
      <c r="AH56" s="111"/>
      <c r="AI56" s="111"/>
      <c r="AJ56" s="111"/>
    </row>
    <row r="57" spans="1:36" x14ac:dyDescent="0.25">
      <c r="A57" s="110">
        <f t="shared" si="15"/>
        <v>49</v>
      </c>
      <c r="B57" s="337" t="s">
        <v>31</v>
      </c>
      <c r="C57" s="337"/>
      <c r="D57" s="337"/>
      <c r="E57" s="337"/>
      <c r="F57" s="337"/>
      <c r="G57" s="337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  <c r="AH57" s="111"/>
      <c r="AI57" s="111"/>
      <c r="AJ57" s="111"/>
    </row>
    <row r="58" spans="1:36" x14ac:dyDescent="0.25">
      <c r="A58" s="110">
        <f t="shared" si="15"/>
        <v>50</v>
      </c>
      <c r="B58" s="337" t="s">
        <v>153</v>
      </c>
      <c r="C58" s="337"/>
      <c r="D58" s="337"/>
      <c r="E58" s="337"/>
      <c r="F58" s="337"/>
      <c r="G58" s="337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  <c r="AA58" s="111"/>
      <c r="AB58" s="111"/>
      <c r="AC58" s="111"/>
      <c r="AD58" s="111"/>
      <c r="AE58" s="111"/>
      <c r="AF58" s="111"/>
      <c r="AG58" s="111"/>
      <c r="AH58" s="111"/>
      <c r="AI58" s="111"/>
      <c r="AJ58" s="111"/>
    </row>
    <row r="59" spans="1:36" x14ac:dyDescent="0.25">
      <c r="A59" s="110">
        <f t="shared" si="15"/>
        <v>51</v>
      </c>
      <c r="B59" s="337" t="s">
        <v>190</v>
      </c>
      <c r="C59" s="337"/>
      <c r="D59" s="337"/>
      <c r="E59" s="337"/>
      <c r="F59" s="337"/>
      <c r="G59" s="337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</row>
    <row r="60" spans="1:36" x14ac:dyDescent="0.25">
      <c r="A60" s="110">
        <f t="shared" si="15"/>
        <v>52</v>
      </c>
      <c r="B60" s="337" t="s">
        <v>180</v>
      </c>
      <c r="C60" s="337"/>
      <c r="D60" s="337"/>
      <c r="E60" s="337"/>
      <c r="F60" s="337"/>
      <c r="G60" s="337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111"/>
      <c r="AE60" s="111"/>
      <c r="AF60" s="111"/>
      <c r="AG60" s="111"/>
      <c r="AH60" s="111"/>
      <c r="AI60" s="111"/>
      <c r="AJ60" s="111"/>
    </row>
    <row r="61" spans="1:36" x14ac:dyDescent="0.25">
      <c r="A61" s="110">
        <f t="shared" si="15"/>
        <v>53</v>
      </c>
      <c r="B61" s="337" t="s">
        <v>80</v>
      </c>
      <c r="C61" s="337"/>
      <c r="D61" s="337"/>
      <c r="E61" s="337"/>
      <c r="F61" s="337"/>
      <c r="G61" s="337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111"/>
      <c r="AE61" s="111"/>
      <c r="AF61" s="111"/>
      <c r="AG61" s="111"/>
      <c r="AH61" s="111"/>
      <c r="AI61" s="111"/>
      <c r="AJ61" s="111"/>
    </row>
    <row r="62" spans="1:36" x14ac:dyDescent="0.25">
      <c r="A62" s="110">
        <f t="shared" si="15"/>
        <v>54</v>
      </c>
      <c r="B62" s="337" t="s">
        <v>756</v>
      </c>
      <c r="C62" s="337"/>
      <c r="D62" s="337"/>
      <c r="E62" s="337"/>
      <c r="F62" s="337"/>
      <c r="G62" s="337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111"/>
      <c r="AE62" s="111"/>
      <c r="AF62" s="111"/>
      <c r="AG62" s="111"/>
      <c r="AH62" s="111"/>
      <c r="AI62" s="111"/>
      <c r="AJ62" s="111"/>
    </row>
    <row r="63" spans="1:36" x14ac:dyDescent="0.25">
      <c r="A63" s="110">
        <f t="shared" si="15"/>
        <v>55</v>
      </c>
      <c r="B63" s="337" t="s">
        <v>408</v>
      </c>
      <c r="C63" s="337"/>
      <c r="D63" s="337"/>
      <c r="E63" s="337"/>
      <c r="F63" s="337"/>
      <c r="G63" s="337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/>
      <c r="AB63" s="111"/>
      <c r="AC63" s="111"/>
      <c r="AD63" s="111"/>
      <c r="AE63" s="111"/>
      <c r="AF63" s="111"/>
      <c r="AG63" s="111"/>
      <c r="AH63" s="111"/>
      <c r="AI63" s="111"/>
      <c r="AJ63" s="111"/>
    </row>
    <row r="64" spans="1:36" x14ac:dyDescent="0.25">
      <c r="A64" s="110">
        <f t="shared" si="15"/>
        <v>56</v>
      </c>
      <c r="B64" s="337" t="s">
        <v>757</v>
      </c>
      <c r="C64" s="337"/>
      <c r="D64" s="337"/>
      <c r="E64" s="337"/>
      <c r="F64" s="337"/>
      <c r="G64" s="337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  <c r="AA64" s="111"/>
      <c r="AB64" s="111"/>
      <c r="AC64" s="111"/>
      <c r="AD64" s="111"/>
      <c r="AE64" s="111"/>
      <c r="AF64" s="111"/>
      <c r="AG64" s="111"/>
      <c r="AH64" s="111"/>
      <c r="AI64" s="111"/>
      <c r="AJ64" s="111"/>
    </row>
    <row r="65" spans="1:36" x14ac:dyDescent="0.25">
      <c r="A65" s="110">
        <f t="shared" si="15"/>
        <v>57</v>
      </c>
      <c r="B65" s="337" t="s">
        <v>758</v>
      </c>
      <c r="C65" s="343">
        <v>2600</v>
      </c>
      <c r="D65" s="343">
        <f>+C65*1.3</f>
        <v>3380</v>
      </c>
      <c r="E65" s="343">
        <f>+D65*1.3</f>
        <v>4394</v>
      </c>
      <c r="F65" s="343">
        <v>4710</v>
      </c>
      <c r="G65" s="343">
        <v>5250</v>
      </c>
      <c r="H65" s="111">
        <v>6100</v>
      </c>
      <c r="I65" s="111">
        <v>4190</v>
      </c>
      <c r="J65" s="111">
        <v>2960</v>
      </c>
      <c r="K65" s="111">
        <v>3110</v>
      </c>
      <c r="L65" s="111">
        <v>3270</v>
      </c>
      <c r="M65" s="111">
        <v>3530</v>
      </c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/>
      <c r="AB65" s="111"/>
      <c r="AC65" s="111"/>
      <c r="AD65" s="111"/>
      <c r="AE65" s="111"/>
      <c r="AF65" s="111"/>
      <c r="AG65" s="111"/>
      <c r="AH65" s="111"/>
      <c r="AI65" s="111"/>
      <c r="AJ65" s="111"/>
    </row>
    <row r="66" spans="1:36" x14ac:dyDescent="0.25">
      <c r="A66" s="110">
        <f t="shared" si="15"/>
        <v>58</v>
      </c>
      <c r="B66" s="337" t="s">
        <v>759</v>
      </c>
      <c r="C66" s="337"/>
      <c r="D66" s="337"/>
      <c r="E66" s="337"/>
      <c r="F66" s="337"/>
      <c r="G66" s="337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  <c r="AC66" s="111"/>
      <c r="AD66" s="111"/>
      <c r="AE66" s="111"/>
      <c r="AF66" s="111"/>
      <c r="AG66" s="111"/>
      <c r="AH66" s="111"/>
      <c r="AI66" s="111"/>
      <c r="AJ66" s="111"/>
    </row>
    <row r="67" spans="1:36" x14ac:dyDescent="0.25">
      <c r="A67" s="110">
        <f t="shared" si="15"/>
        <v>59</v>
      </c>
      <c r="B67" s="337" t="s">
        <v>760</v>
      </c>
      <c r="C67" s="337"/>
      <c r="D67" s="337"/>
      <c r="E67" s="337"/>
      <c r="F67" s="337"/>
      <c r="G67" s="337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</row>
    <row r="68" spans="1:36" x14ac:dyDescent="0.25">
      <c r="A68" s="110">
        <f t="shared" si="15"/>
        <v>60</v>
      </c>
      <c r="B68" s="337" t="s">
        <v>761</v>
      </c>
      <c r="C68" s="337"/>
      <c r="D68" s="337"/>
      <c r="E68" s="337"/>
      <c r="F68" s="337"/>
      <c r="G68" s="337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</row>
    <row r="69" spans="1:36" x14ac:dyDescent="0.25">
      <c r="A69" s="110">
        <f t="shared" si="15"/>
        <v>61</v>
      </c>
      <c r="B69" s="337" t="s">
        <v>762</v>
      </c>
      <c r="C69" s="337"/>
      <c r="D69" s="337"/>
      <c r="E69" s="337"/>
      <c r="F69" s="337"/>
      <c r="G69" s="337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/>
      <c r="AD69" s="111"/>
      <c r="AE69" s="111"/>
      <c r="AF69" s="111"/>
      <c r="AG69" s="111"/>
      <c r="AH69" s="111"/>
      <c r="AI69" s="111"/>
      <c r="AJ69" s="111"/>
    </row>
    <row r="70" spans="1:36" x14ac:dyDescent="0.25">
      <c r="A70" s="110">
        <f t="shared" si="15"/>
        <v>62</v>
      </c>
      <c r="B70" s="337" t="s">
        <v>763</v>
      </c>
      <c r="C70" s="337"/>
      <c r="D70" s="337"/>
      <c r="E70" s="337"/>
      <c r="F70" s="337"/>
      <c r="G70" s="337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  <c r="AI70" s="111"/>
      <c r="AJ70" s="111"/>
    </row>
    <row r="71" spans="1:36" x14ac:dyDescent="0.25">
      <c r="A71" s="110">
        <f t="shared" si="15"/>
        <v>63</v>
      </c>
      <c r="B71" s="337" t="s">
        <v>764</v>
      </c>
      <c r="C71" s="337"/>
      <c r="D71" s="337"/>
      <c r="E71" s="337"/>
      <c r="F71" s="337"/>
      <c r="G71" s="337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111"/>
    </row>
    <row r="72" spans="1:36" x14ac:dyDescent="0.25">
      <c r="A72" s="110">
        <f t="shared" si="15"/>
        <v>64</v>
      </c>
      <c r="B72" s="337" t="s">
        <v>765</v>
      </c>
      <c r="C72" s="337"/>
      <c r="D72" s="337"/>
      <c r="E72" s="337"/>
      <c r="F72" s="337"/>
      <c r="G72" s="337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/>
      <c r="AD72" s="111"/>
      <c r="AE72" s="111"/>
      <c r="AF72" s="111"/>
      <c r="AG72" s="111"/>
      <c r="AH72" s="111"/>
      <c r="AI72" s="111"/>
      <c r="AJ72" s="111"/>
    </row>
    <row r="73" spans="1:36" x14ac:dyDescent="0.25">
      <c r="A73" s="110">
        <f t="shared" si="15"/>
        <v>65</v>
      </c>
      <c r="B73" s="337" t="s">
        <v>766</v>
      </c>
      <c r="C73" s="337"/>
      <c r="D73" s="337"/>
      <c r="E73" s="337"/>
      <c r="F73" s="337"/>
      <c r="G73" s="337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  <c r="AA73" s="111"/>
      <c r="AB73" s="111"/>
      <c r="AC73" s="111"/>
      <c r="AD73" s="111"/>
      <c r="AE73" s="111"/>
      <c r="AF73" s="111"/>
      <c r="AG73" s="111"/>
      <c r="AH73" s="111"/>
      <c r="AI73" s="111"/>
      <c r="AJ73" s="111"/>
    </row>
    <row r="74" spans="1:36" x14ac:dyDescent="0.25">
      <c r="A74" s="110">
        <f t="shared" si="15"/>
        <v>66</v>
      </c>
      <c r="B74" s="337" t="s">
        <v>451</v>
      </c>
      <c r="C74" s="337"/>
      <c r="D74" s="337"/>
      <c r="E74" s="337"/>
      <c r="F74" s="337"/>
      <c r="G74" s="337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  <c r="AF74" s="111"/>
      <c r="AG74" s="111"/>
      <c r="AH74" s="111"/>
      <c r="AI74" s="111"/>
      <c r="AJ74" s="111"/>
    </row>
    <row r="75" spans="1:36" x14ac:dyDescent="0.25">
      <c r="A75" s="110">
        <f t="shared" si="15"/>
        <v>67</v>
      </c>
      <c r="B75" s="337" t="s">
        <v>42</v>
      </c>
      <c r="C75" s="337"/>
      <c r="D75" s="337"/>
      <c r="E75" s="337"/>
      <c r="F75" s="337"/>
      <c r="G75" s="337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  <c r="AA75" s="111"/>
      <c r="AB75" s="111"/>
      <c r="AC75" s="111"/>
      <c r="AD75" s="111"/>
      <c r="AE75" s="111"/>
      <c r="AF75" s="111"/>
      <c r="AG75" s="111"/>
      <c r="AH75" s="111"/>
      <c r="AI75" s="111"/>
      <c r="AJ75" s="111"/>
    </row>
    <row r="76" spans="1:36" x14ac:dyDescent="0.25">
      <c r="A76" s="110">
        <f t="shared" si="15"/>
        <v>68</v>
      </c>
      <c r="B76" s="337" t="s">
        <v>157</v>
      </c>
      <c r="C76" s="337"/>
      <c r="D76" s="337"/>
      <c r="E76" s="337"/>
      <c r="F76" s="337"/>
      <c r="G76" s="337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111"/>
      <c r="AI76" s="111"/>
      <c r="AJ76" s="111"/>
    </row>
    <row r="77" spans="1:36" x14ac:dyDescent="0.25">
      <c r="A77" s="110">
        <f t="shared" ref="A77:A80" si="31">+A76+1</f>
        <v>69</v>
      </c>
      <c r="B77" s="337" t="s">
        <v>72</v>
      </c>
      <c r="C77" s="337"/>
      <c r="D77" s="337"/>
      <c r="E77" s="337"/>
      <c r="F77" s="337"/>
      <c r="G77" s="337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</row>
    <row r="78" spans="1:36" x14ac:dyDescent="0.25">
      <c r="A78" s="110">
        <f t="shared" si="31"/>
        <v>70</v>
      </c>
      <c r="B78" s="337" t="s">
        <v>767</v>
      </c>
      <c r="C78" s="337"/>
      <c r="D78" s="337"/>
      <c r="E78" s="337"/>
      <c r="F78" s="337"/>
      <c r="G78" s="337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1"/>
      <c r="AE78" s="111"/>
      <c r="AF78" s="111"/>
      <c r="AG78" s="111"/>
      <c r="AH78" s="111"/>
      <c r="AI78" s="111"/>
      <c r="AJ78" s="111"/>
    </row>
    <row r="79" spans="1:36" x14ac:dyDescent="0.25">
      <c r="A79" s="110">
        <f t="shared" si="31"/>
        <v>71</v>
      </c>
      <c r="B79" s="337" t="s">
        <v>768</v>
      </c>
      <c r="C79" s="337"/>
      <c r="D79" s="337"/>
      <c r="E79" s="337"/>
      <c r="F79" s="337"/>
      <c r="G79" s="337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</row>
    <row r="80" spans="1:36" x14ac:dyDescent="0.25">
      <c r="A80" s="110">
        <f t="shared" si="31"/>
        <v>72</v>
      </c>
      <c r="B80" s="337" t="s">
        <v>512</v>
      </c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</row>
    <row r="81" spans="1:36" x14ac:dyDescent="0.25"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</row>
    <row r="82" spans="1:36" x14ac:dyDescent="0.25"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1"/>
      <c r="AD82" s="111"/>
      <c r="AE82" s="111"/>
      <c r="AF82" s="111"/>
      <c r="AG82" s="111"/>
      <c r="AH82" s="111"/>
      <c r="AI82" s="111"/>
      <c r="AJ82" s="111"/>
    </row>
    <row r="83" spans="1:36" x14ac:dyDescent="0.25">
      <c r="AH83" s="111"/>
      <c r="AI83" s="111"/>
      <c r="AJ83" s="111"/>
    </row>
    <row r="84" spans="1:36" x14ac:dyDescent="0.25">
      <c r="AH84" s="111"/>
      <c r="AI84" s="111"/>
      <c r="AJ84" s="111"/>
    </row>
    <row r="85" spans="1:36" x14ac:dyDescent="0.25">
      <c r="AH85" s="111"/>
      <c r="AI85" s="111"/>
      <c r="AJ85" s="111"/>
    </row>
    <row r="86" spans="1:36" x14ac:dyDescent="0.25">
      <c r="A86" s="110">
        <f>+A10+1</f>
        <v>3</v>
      </c>
      <c r="B86" s="337" t="s">
        <v>276</v>
      </c>
      <c r="C86" s="337"/>
      <c r="D86" s="337"/>
      <c r="E86" s="337"/>
      <c r="F86" s="337"/>
      <c r="G86" s="337"/>
      <c r="H86" s="111"/>
      <c r="I86" s="111"/>
      <c r="J86" s="111"/>
      <c r="K86" s="111"/>
      <c r="L86" s="111"/>
      <c r="M86" s="111">
        <v>0</v>
      </c>
      <c r="N86" s="111">
        <v>0</v>
      </c>
      <c r="O86" s="111">
        <v>0</v>
      </c>
      <c r="P86" s="111">
        <v>0</v>
      </c>
      <c r="Q86" s="111">
        <v>0</v>
      </c>
      <c r="R86" s="111">
        <v>0</v>
      </c>
      <c r="S86" s="111">
        <v>0</v>
      </c>
      <c r="T86" s="111">
        <v>0</v>
      </c>
      <c r="U86" s="111">
        <v>0</v>
      </c>
      <c r="V86" s="111">
        <v>0</v>
      </c>
      <c r="W86" s="111">
        <v>220</v>
      </c>
      <c r="X86" s="111">
        <f>+Y86/2</f>
        <v>1850</v>
      </c>
      <c r="Y86" s="111">
        <f>+Z86/2</f>
        <v>3700</v>
      </c>
      <c r="Z86" s="111">
        <v>7400</v>
      </c>
      <c r="AA86" s="111">
        <v>17000</v>
      </c>
      <c r="AB86" s="111">
        <v>34300</v>
      </c>
      <c r="AC86" s="111">
        <v>80000</v>
      </c>
      <c r="AD86" s="111">
        <v>85000</v>
      </c>
      <c r="AE86" s="111">
        <v>112000</v>
      </c>
      <c r="AF86" s="111">
        <v>155000</v>
      </c>
      <c r="AG86" s="111">
        <v>186000</v>
      </c>
      <c r="AH86" s="111"/>
      <c r="AI86" s="111"/>
      <c r="AJ86" s="111"/>
    </row>
    <row r="87" spans="1:36" x14ac:dyDescent="0.25">
      <c r="A87" s="110">
        <f>+A86+1</f>
        <v>4</v>
      </c>
      <c r="B87" s="110" t="s">
        <v>13</v>
      </c>
      <c r="H87" s="111"/>
      <c r="I87" s="111"/>
      <c r="J87" s="111"/>
      <c r="K87" s="111"/>
      <c r="L87" s="111"/>
      <c r="M87" s="111">
        <v>9</v>
      </c>
      <c r="N87" s="111">
        <v>48</v>
      </c>
      <c r="O87" s="111">
        <v>153</v>
      </c>
      <c r="P87" s="111">
        <v>272</v>
      </c>
      <c r="Q87" s="111">
        <v>777</v>
      </c>
      <c r="R87" s="111">
        <v>1974</v>
      </c>
      <c r="S87" s="111">
        <v>3711</v>
      </c>
      <c r="T87" s="111">
        <v>5089</v>
      </c>
      <c r="U87" s="111">
        <v>7872</v>
      </c>
      <c r="V87" s="111">
        <v>12466</v>
      </c>
      <c r="W87" s="111">
        <v>17928</v>
      </c>
      <c r="X87" s="111">
        <v>27638</v>
      </c>
      <c r="Y87" s="111">
        <v>40653</v>
      </c>
      <c r="Z87" s="111">
        <v>55838</v>
      </c>
      <c r="AA87" s="111">
        <v>70697</v>
      </c>
      <c r="AB87" s="111">
        <v>85965</v>
      </c>
      <c r="AC87" s="111">
        <v>117929</v>
      </c>
      <c r="AD87" s="111">
        <v>116609</v>
      </c>
      <c r="AE87" s="111">
        <v>134902</v>
      </c>
      <c r="AF87" s="111">
        <v>164501</v>
      </c>
      <c r="AG87" s="111">
        <v>178805</v>
      </c>
      <c r="AH87" s="111"/>
      <c r="AI87" s="111"/>
      <c r="AJ87" s="111"/>
    </row>
    <row r="88" spans="1:36" x14ac:dyDescent="0.25">
      <c r="A88" s="110">
        <f>+A87+1</f>
        <v>5</v>
      </c>
      <c r="B88" s="110" t="s">
        <v>403</v>
      </c>
      <c r="H88" s="111"/>
      <c r="I88" s="111"/>
      <c r="J88" s="111"/>
      <c r="K88" s="111"/>
      <c r="L88" s="111"/>
      <c r="M88" s="111">
        <v>0</v>
      </c>
      <c r="N88" s="111">
        <f t="shared" ref="N88:P88" si="32">+O88/1.5</f>
        <v>182.31367169638773</v>
      </c>
      <c r="O88" s="111">
        <f t="shared" si="32"/>
        <v>273.47050754458161</v>
      </c>
      <c r="P88" s="111">
        <f t="shared" si="32"/>
        <v>410.20576131687244</v>
      </c>
      <c r="Q88" s="111">
        <f t="shared" ref="Q88:S88" si="33">+R88/1.5</f>
        <v>615.30864197530866</v>
      </c>
      <c r="R88" s="111">
        <f t="shared" si="33"/>
        <v>922.96296296296293</v>
      </c>
      <c r="S88" s="111">
        <f t="shared" si="33"/>
        <v>1384.4444444444443</v>
      </c>
      <c r="T88" s="111">
        <f>+U88/1.5</f>
        <v>2076.6666666666665</v>
      </c>
      <c r="U88" s="111">
        <v>3115</v>
      </c>
      <c r="V88" s="111">
        <v>4644</v>
      </c>
      <c r="W88" s="111">
        <v>7880</v>
      </c>
      <c r="X88" s="111">
        <v>12219</v>
      </c>
      <c r="Y88" s="111">
        <v>17459</v>
      </c>
      <c r="Z88" s="111">
        <v>25655</v>
      </c>
      <c r="AA88" s="111">
        <v>35026</v>
      </c>
      <c r="AB88" s="111">
        <v>45370</v>
      </c>
      <c r="AC88" s="111">
        <v>62202</v>
      </c>
      <c r="AD88" s="111">
        <v>80096</v>
      </c>
      <c r="AE88" s="111">
        <v>90760</v>
      </c>
      <c r="AF88" s="111">
        <v>107500</v>
      </c>
      <c r="AG88" s="111">
        <f>+AF88*1.1</f>
        <v>118250.00000000001</v>
      </c>
      <c r="AH88" s="111"/>
      <c r="AI88" s="111"/>
      <c r="AJ88" s="111"/>
    </row>
    <row r="89" spans="1:36" x14ac:dyDescent="0.25">
      <c r="AH89" s="111"/>
      <c r="AI89" s="111"/>
      <c r="AJ89" s="111"/>
    </row>
    <row r="90" spans="1:36" x14ac:dyDescent="0.25">
      <c r="AH90" s="111"/>
      <c r="AI90" s="111"/>
      <c r="AJ90" s="111"/>
    </row>
    <row r="91" spans="1:36" x14ac:dyDescent="0.25">
      <c r="AH91" s="111"/>
      <c r="AI91" s="111"/>
      <c r="AJ91" s="111"/>
    </row>
    <row r="92" spans="1:36" x14ac:dyDescent="0.25">
      <c r="AH92" s="111"/>
      <c r="AI92" s="111"/>
      <c r="AJ92" s="111"/>
    </row>
    <row r="93" spans="1:36" x14ac:dyDescent="0.25">
      <c r="AH93" s="111"/>
      <c r="AI93" s="111"/>
      <c r="AJ93" s="111"/>
    </row>
    <row r="94" spans="1:36" x14ac:dyDescent="0.25">
      <c r="AH94" s="111"/>
      <c r="AI94" s="111"/>
      <c r="AJ94" s="111"/>
    </row>
    <row r="95" spans="1:36" x14ac:dyDescent="0.25">
      <c r="AH95" s="111"/>
      <c r="AI95" s="111"/>
      <c r="AJ95" s="111"/>
    </row>
    <row r="96" spans="1:36" x14ac:dyDescent="0.25">
      <c r="AH96" s="111"/>
      <c r="AI96" s="111"/>
      <c r="AJ96" s="111"/>
    </row>
    <row r="97" spans="34:36" x14ac:dyDescent="0.25">
      <c r="AH97" s="111"/>
      <c r="AI97" s="111"/>
      <c r="AJ97" s="111"/>
    </row>
    <row r="98" spans="34:36" x14ac:dyDescent="0.25">
      <c r="AH98" s="111"/>
      <c r="AI98" s="111"/>
      <c r="AJ98" s="111"/>
    </row>
    <row r="99" spans="34:36" x14ac:dyDescent="0.25">
      <c r="AH99" s="111"/>
      <c r="AI99" s="111"/>
      <c r="AJ99" s="111"/>
    </row>
    <row r="100" spans="34:36" x14ac:dyDescent="0.25">
      <c r="AH100" s="111"/>
      <c r="AI100" s="111"/>
      <c r="AJ100" s="111"/>
    </row>
    <row r="101" spans="34:36" x14ac:dyDescent="0.25">
      <c r="AH101" s="111"/>
      <c r="AI101" s="111"/>
      <c r="AJ101" s="111"/>
    </row>
    <row r="102" spans="34:36" x14ac:dyDescent="0.25">
      <c r="AH102" s="111"/>
      <c r="AI102" s="111"/>
      <c r="AJ102" s="111"/>
    </row>
    <row r="103" spans="34:36" x14ac:dyDescent="0.25">
      <c r="AH103" s="111"/>
      <c r="AI103" s="111"/>
      <c r="AJ103" s="111"/>
    </row>
    <row r="104" spans="34:36" x14ac:dyDescent="0.25">
      <c r="AH104" s="111"/>
      <c r="AI104" s="111"/>
      <c r="AJ104" s="111"/>
    </row>
    <row r="105" spans="34:36" x14ac:dyDescent="0.25">
      <c r="AH105" s="111"/>
      <c r="AI105" s="111"/>
      <c r="AJ105" s="111"/>
    </row>
    <row r="106" spans="34:36" x14ac:dyDescent="0.25">
      <c r="AH106" s="111"/>
      <c r="AI106" s="111"/>
      <c r="AJ106" s="111"/>
    </row>
    <row r="107" spans="34:36" x14ac:dyDescent="0.25">
      <c r="AH107" s="111"/>
      <c r="AI107" s="111"/>
      <c r="AJ107" s="111"/>
    </row>
    <row r="108" spans="34:36" x14ac:dyDescent="0.25">
      <c r="AH108" s="111"/>
      <c r="AI108" s="111"/>
      <c r="AJ108" s="111"/>
    </row>
    <row r="109" spans="34:36" x14ac:dyDescent="0.25">
      <c r="AH109" s="111"/>
      <c r="AI109" s="111"/>
      <c r="AJ109" s="111"/>
    </row>
    <row r="110" spans="34:36" x14ac:dyDescent="0.25">
      <c r="AH110" s="111"/>
      <c r="AI110" s="111"/>
      <c r="AJ110" s="111"/>
    </row>
    <row r="111" spans="34:36" x14ac:dyDescent="0.25">
      <c r="AH111" s="111"/>
      <c r="AI111" s="111"/>
      <c r="AJ111" s="111"/>
    </row>
    <row r="112" spans="34:36" x14ac:dyDescent="0.25">
      <c r="AH112" s="111"/>
      <c r="AI112" s="111"/>
      <c r="AJ112" s="111"/>
    </row>
    <row r="113" spans="34:36" x14ac:dyDescent="0.25">
      <c r="AH113" s="111"/>
      <c r="AI113" s="111"/>
      <c r="AJ113" s="111"/>
    </row>
    <row r="114" spans="34:36" x14ac:dyDescent="0.25">
      <c r="AH114" s="111"/>
      <c r="AI114" s="111"/>
      <c r="AJ114" s="111"/>
    </row>
    <row r="115" spans="34:36" x14ac:dyDescent="0.25">
      <c r="AH115" s="111"/>
      <c r="AI115" s="111"/>
      <c r="AJ115" s="111"/>
    </row>
    <row r="116" spans="34:36" x14ac:dyDescent="0.25">
      <c r="AH116" s="111"/>
      <c r="AI116" s="111"/>
      <c r="AJ116" s="111"/>
    </row>
    <row r="117" spans="34:36" x14ac:dyDescent="0.25">
      <c r="AH117" s="111"/>
      <c r="AI117" s="111"/>
      <c r="AJ117" s="111"/>
    </row>
    <row r="118" spans="34:36" x14ac:dyDescent="0.25">
      <c r="AH118" s="111"/>
      <c r="AI118" s="111"/>
      <c r="AJ118" s="111"/>
    </row>
    <row r="119" spans="34:36" x14ac:dyDescent="0.25">
      <c r="AH119" s="111"/>
      <c r="AI119" s="111"/>
      <c r="AJ119" s="111"/>
    </row>
    <row r="120" spans="34:36" x14ac:dyDescent="0.25">
      <c r="AH120" s="111"/>
      <c r="AI120" s="111"/>
      <c r="AJ120" s="111"/>
    </row>
    <row r="121" spans="34:36" x14ac:dyDescent="0.25">
      <c r="AH121" s="111"/>
      <c r="AI121" s="111"/>
      <c r="AJ121" s="111"/>
    </row>
    <row r="122" spans="34:36" x14ac:dyDescent="0.25">
      <c r="AH122" s="111"/>
      <c r="AI122" s="111"/>
      <c r="AJ122" s="111"/>
    </row>
    <row r="123" spans="34:36" x14ac:dyDescent="0.25">
      <c r="AH123" s="111"/>
      <c r="AI123" s="111"/>
      <c r="AJ123" s="111"/>
    </row>
    <row r="124" spans="34:36" x14ac:dyDescent="0.25">
      <c r="AH124" s="111"/>
      <c r="AI124" s="111"/>
      <c r="AJ124" s="111"/>
    </row>
    <row r="125" spans="34:36" x14ac:dyDescent="0.25">
      <c r="AH125" s="111"/>
      <c r="AI125" s="111"/>
      <c r="AJ125" s="111"/>
    </row>
    <row r="126" spans="34:36" x14ac:dyDescent="0.25">
      <c r="AH126" s="111"/>
      <c r="AI126" s="111"/>
      <c r="AJ126" s="111"/>
    </row>
    <row r="127" spans="34:36" x14ac:dyDescent="0.25">
      <c r="AH127" s="111"/>
      <c r="AI127" s="111"/>
      <c r="AJ127" s="111"/>
    </row>
    <row r="128" spans="34:36" x14ac:dyDescent="0.25">
      <c r="AH128" s="111"/>
      <c r="AI128" s="111"/>
      <c r="AJ128" s="111"/>
    </row>
    <row r="129" spans="34:36" x14ac:dyDescent="0.25">
      <c r="AH129" s="111"/>
      <c r="AI129" s="111"/>
      <c r="AJ129" s="111"/>
    </row>
    <row r="130" spans="34:36" x14ac:dyDescent="0.25">
      <c r="AH130" s="111"/>
      <c r="AI130" s="111"/>
      <c r="AJ130" s="111"/>
    </row>
    <row r="131" spans="34:36" x14ac:dyDescent="0.25">
      <c r="AH131" s="111"/>
      <c r="AI131" s="111"/>
      <c r="AJ131" s="111"/>
    </row>
    <row r="132" spans="34:36" x14ac:dyDescent="0.25">
      <c r="AH132" s="111"/>
      <c r="AI132" s="111"/>
      <c r="AJ132" s="111"/>
    </row>
    <row r="133" spans="34:36" x14ac:dyDescent="0.25">
      <c r="AH133" s="111"/>
      <c r="AI133" s="111"/>
      <c r="AJ133" s="111"/>
    </row>
    <row r="134" spans="34:36" x14ac:dyDescent="0.25">
      <c r="AH134" s="111"/>
      <c r="AI134" s="111"/>
      <c r="AJ134" s="111"/>
    </row>
    <row r="135" spans="34:36" x14ac:dyDescent="0.25">
      <c r="AH135" s="111"/>
      <c r="AI135" s="111"/>
      <c r="AJ135" s="111"/>
    </row>
  </sheetData>
  <hyperlinks>
    <hyperlink ref="A1" location="Main!A1" display="Main" xr:uid="{04070A17-ACBF-4452-AFD7-3FBDA4940F36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87" bestFit="1" customWidth="1"/>
    <col min="2" max="2" width="10.453125" style="87" customWidth="1"/>
    <col min="3" max="16384" width="9.1796875" style="87"/>
  </cols>
  <sheetData>
    <row r="1" spans="1:3" x14ac:dyDescent="0.25">
      <c r="A1" s="5" t="s">
        <v>142</v>
      </c>
    </row>
    <row r="2" spans="1:3" x14ac:dyDescent="0.25">
      <c r="A2" s="5"/>
      <c r="B2" s="112" t="s">
        <v>412</v>
      </c>
    </row>
    <row r="3" spans="1:3" x14ac:dyDescent="0.25">
      <c r="A3" s="5"/>
      <c r="B3" s="112" t="s">
        <v>408</v>
      </c>
    </row>
    <row r="4" spans="1:3" x14ac:dyDescent="0.25">
      <c r="A4" s="5"/>
      <c r="B4" s="112" t="s">
        <v>411</v>
      </c>
    </row>
    <row r="5" spans="1:3" x14ac:dyDescent="0.25">
      <c r="A5" s="5"/>
      <c r="B5" s="112" t="s">
        <v>409</v>
      </c>
    </row>
    <row r="6" spans="1:3" x14ac:dyDescent="0.25">
      <c r="A6" s="5"/>
      <c r="B6" s="112" t="s">
        <v>413</v>
      </c>
    </row>
    <row r="7" spans="1:3" x14ac:dyDescent="0.25">
      <c r="A7" s="5"/>
      <c r="B7" s="112" t="s">
        <v>410</v>
      </c>
    </row>
    <row r="8" spans="1:3" x14ac:dyDescent="0.25">
      <c r="A8" s="5"/>
      <c r="B8" s="112"/>
    </row>
    <row r="9" spans="1:3" x14ac:dyDescent="0.25">
      <c r="A9" s="5"/>
      <c r="B9" s="112"/>
    </row>
    <row r="10" spans="1:3" x14ac:dyDescent="0.25">
      <c r="A10" s="5"/>
      <c r="B10" s="87" t="s">
        <v>346</v>
      </c>
    </row>
    <row r="11" spans="1:3" x14ac:dyDescent="0.25">
      <c r="B11" s="87" t="s">
        <v>342</v>
      </c>
    </row>
    <row r="12" spans="1:3" x14ac:dyDescent="0.25">
      <c r="B12" s="87" t="s">
        <v>343</v>
      </c>
      <c r="C12" s="87" t="s">
        <v>344</v>
      </c>
    </row>
    <row r="13" spans="1:3" x14ac:dyDescent="0.25">
      <c r="B13" s="87" t="s">
        <v>345</v>
      </c>
    </row>
    <row r="14" spans="1:3" x14ac:dyDescent="0.25">
      <c r="B14" s="110" t="s">
        <v>405</v>
      </c>
      <c r="C14" s="110" t="s">
        <v>406</v>
      </c>
    </row>
    <row r="15" spans="1:3" x14ac:dyDescent="0.25">
      <c r="B15" s="110" t="s">
        <v>407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6"/>
  <sheetViews>
    <sheetView tabSelected="1"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453125" defaultRowHeight="12.5" x14ac:dyDescent="0.25"/>
  <cols>
    <col min="1" max="1" width="4.81640625" style="204" customWidth="1"/>
    <col min="2" max="2" width="16.453125" style="204" customWidth="1"/>
    <col min="3" max="3" width="10.7265625" style="204" customWidth="1"/>
    <col min="4" max="4" width="8.7265625" style="205" customWidth="1"/>
    <col min="5" max="5" width="10.26953125" style="206" customWidth="1"/>
    <col min="6" max="9" width="9.453125" style="203" customWidth="1"/>
    <col min="10" max="10" width="10.453125" style="203" customWidth="1"/>
    <col min="11" max="15" width="8.453125" style="207"/>
    <col min="16" max="16" width="8.453125" style="212"/>
    <col min="17" max="18" width="8.453125" style="207"/>
    <col min="19" max="19" width="8.453125" style="213"/>
    <col min="20" max="20" width="8.453125" style="212"/>
    <col min="21" max="22" width="8.453125" style="207"/>
    <col min="23" max="23" width="8.453125" style="213"/>
    <col min="24" max="16384" width="8.453125" style="204"/>
  </cols>
  <sheetData>
    <row r="2" spans="1:25" x14ac:dyDescent="0.25">
      <c r="L2" s="208">
        <f>AVERAGE(L4:L5)</f>
        <v>0.62796315055760088</v>
      </c>
      <c r="P2" s="209">
        <f>AVERAGE(P4:P5)</f>
        <v>119.76683769975703</v>
      </c>
      <c r="Q2" s="210">
        <f>AVERAGE(Q4:Q5)</f>
        <v>57.143396404016364</v>
      </c>
      <c r="R2" s="210">
        <f>AVERAGE(R4:R5)</f>
        <v>48.384443690918729</v>
      </c>
      <c r="S2" s="211">
        <f>AVERAGE(S4:S5)</f>
        <v>36.428124305612059</v>
      </c>
    </row>
    <row r="3" spans="1:25" x14ac:dyDescent="0.25">
      <c r="B3" s="214" t="s">
        <v>0</v>
      </c>
      <c r="C3" s="215" t="s">
        <v>1</v>
      </c>
      <c r="D3" s="216" t="s">
        <v>2</v>
      </c>
      <c r="E3" s="217" t="s">
        <v>3</v>
      </c>
      <c r="F3" s="218" t="s">
        <v>4</v>
      </c>
      <c r="G3" s="218" t="s">
        <v>5</v>
      </c>
      <c r="H3" s="218" t="s">
        <v>212</v>
      </c>
      <c r="I3" s="218" t="s">
        <v>6</v>
      </c>
      <c r="J3" s="218" t="s">
        <v>223</v>
      </c>
      <c r="K3" s="219" t="s">
        <v>207</v>
      </c>
      <c r="L3" s="219" t="s">
        <v>211</v>
      </c>
      <c r="M3" s="219" t="s">
        <v>208</v>
      </c>
      <c r="N3" s="219" t="s">
        <v>209</v>
      </c>
      <c r="O3" s="220" t="s">
        <v>210</v>
      </c>
      <c r="P3" s="221" t="s">
        <v>228</v>
      </c>
      <c r="Q3" s="222" t="s">
        <v>229</v>
      </c>
      <c r="R3" s="222" t="s">
        <v>230</v>
      </c>
      <c r="S3" s="220">
        <v>2025</v>
      </c>
      <c r="T3" s="221" t="s">
        <v>227</v>
      </c>
      <c r="U3" s="219">
        <v>2023</v>
      </c>
      <c r="V3" s="219">
        <v>2024</v>
      </c>
      <c r="W3" s="220">
        <v>2025</v>
      </c>
      <c r="X3" s="204" t="s">
        <v>213</v>
      </c>
      <c r="Y3" s="252" t="s">
        <v>670</v>
      </c>
    </row>
    <row r="4" spans="1:25" x14ac:dyDescent="0.25">
      <c r="A4" s="267" t="s">
        <v>252</v>
      </c>
      <c r="B4" s="80" t="s">
        <v>7</v>
      </c>
      <c r="C4" s="204" t="s">
        <v>8</v>
      </c>
      <c r="D4" s="205">
        <v>436.51</v>
      </c>
      <c r="E4" s="206">
        <f>D4*[2]Main!$L$3</f>
        <v>3245007.5853998503</v>
      </c>
      <c r="F4" s="206">
        <f>[2]Main!$L$5-[2]Main!$L$6</f>
        <v>49089</v>
      </c>
      <c r="G4" s="206">
        <f>+E4-F4</f>
        <v>3195918.5853998503</v>
      </c>
      <c r="H4" s="206">
        <f>+[2]Main!$L$3</f>
        <v>7433.9822350000004</v>
      </c>
      <c r="I4" s="301" t="s">
        <v>668</v>
      </c>
      <c r="J4" s="223">
        <v>45733</v>
      </c>
      <c r="K4" s="224"/>
      <c r="L4" s="208"/>
      <c r="M4" s="208">
        <f>+[2]Model!$BT$50</f>
        <v>8.8186942013873226E-2</v>
      </c>
      <c r="N4" s="208">
        <f>+[2]Model!$BT$49</f>
        <v>0</v>
      </c>
      <c r="O4" s="225">
        <f>+[2]Model!$BT$51</f>
        <v>0</v>
      </c>
      <c r="P4" s="209">
        <f>+$G$4/$H$4/T4</f>
        <v>202.20219816111654</v>
      </c>
      <c r="Q4" s="211">
        <f t="shared" ref="Q4:S4" si="0">+$G$4/$H$4/U4</f>
        <v>84.940531397777022</v>
      </c>
      <c r="R4" s="211">
        <f t="shared" si="0"/>
        <v>74.591201300598087</v>
      </c>
      <c r="S4" s="226">
        <f t="shared" si="0"/>
        <v>53.379616906701763</v>
      </c>
      <c r="T4" s="227">
        <f>+[2]Model!$BI$47</f>
        <v>2.126122658455222</v>
      </c>
      <c r="U4" s="224">
        <f>+[2]Model!$BJ$47</f>
        <v>5.0612666064749128</v>
      </c>
      <c r="V4" s="224">
        <f>+[2]Model!$BK$47</f>
        <v>5.7635038396459715</v>
      </c>
      <c r="W4" s="228">
        <f>+[2]Model!$BL$47</f>
        <v>8.0537609674345241</v>
      </c>
      <c r="X4" s="204">
        <v>1975</v>
      </c>
      <c r="Y4" s="204">
        <f t="shared" ref="Y4:Y5" si="1">2025-X4</f>
        <v>50</v>
      </c>
    </row>
    <row r="5" spans="1:25" x14ac:dyDescent="0.25">
      <c r="A5" s="266" t="s">
        <v>252</v>
      </c>
      <c r="B5" s="80" t="s">
        <v>9</v>
      </c>
      <c r="C5" s="204" t="s">
        <v>10</v>
      </c>
      <c r="D5" s="205">
        <v>182</v>
      </c>
      <c r="E5" s="206">
        <f>D5*[3]Main!$L$3</f>
        <v>2236962</v>
      </c>
      <c r="F5" s="206">
        <f>[3]Main!$L$5-[3]Main!$L$6</f>
        <v>135471</v>
      </c>
      <c r="G5" s="206">
        <f>+E5-F5</f>
        <v>2101491</v>
      </c>
      <c r="H5" s="206">
        <f>[3]Main!$L$3</f>
        <v>12291</v>
      </c>
      <c r="I5" s="338" t="s">
        <v>742</v>
      </c>
      <c r="J5" s="340">
        <v>45853</v>
      </c>
      <c r="K5" s="224">
        <f>+[3]Model!$BM$40</f>
        <v>296.28929340148335</v>
      </c>
      <c r="L5" s="208">
        <f>+K5/D5-1</f>
        <v>0.62796315055760088</v>
      </c>
      <c r="M5" s="208">
        <f>[3]Model!$BM$35</f>
        <v>0.08</v>
      </c>
      <c r="N5" s="208">
        <f>[3]Model!$BM$34</f>
        <v>0.02</v>
      </c>
      <c r="O5" s="225">
        <f>[3]Model!$BM$36</f>
        <v>0.03</v>
      </c>
      <c r="P5" s="209">
        <f>+$G$5/$H$5/T5</f>
        <v>37.331477238397532</v>
      </c>
      <c r="Q5" s="211">
        <f>+$G$5/$H$5/U5</f>
        <v>29.346261410255707</v>
      </c>
      <c r="R5" s="211">
        <f>+$G$5/$H$5/V5</f>
        <v>22.177686081239379</v>
      </c>
      <c r="S5" s="211">
        <f>+$G$5/$H$5/W5</f>
        <v>19.476631704522354</v>
      </c>
      <c r="T5" s="227">
        <f>[3]Model!$AW$29</f>
        <v>4.5799964361174039</v>
      </c>
      <c r="U5" s="224">
        <f>[3]Model!$AX$29</f>
        <v>5.8262287763546796</v>
      </c>
      <c r="V5" s="224">
        <f>[3]Model!$AY$29</f>
        <v>7.7094622081197626</v>
      </c>
      <c r="W5" s="228">
        <f>[3]Model!$AZ$29</f>
        <v>8.7786243176307845</v>
      </c>
      <c r="X5" s="204">
        <v>1998</v>
      </c>
      <c r="Y5" s="204">
        <f t="shared" si="1"/>
        <v>27</v>
      </c>
    </row>
    <row r="6" spans="1:25" x14ac:dyDescent="0.25">
      <c r="A6" s="266" t="s">
        <v>252</v>
      </c>
      <c r="B6" s="80" t="s">
        <v>72</v>
      </c>
      <c r="C6" s="204" t="s">
        <v>73</v>
      </c>
      <c r="D6" s="205">
        <v>300.52</v>
      </c>
      <c r="E6" s="206">
        <f>+D6*H6</f>
        <v>100852.04893808</v>
      </c>
      <c r="F6" s="206">
        <f>+[4]Main!$K$5-[4]Main!$K$6</f>
        <v>-2906.86</v>
      </c>
      <c r="G6" s="206">
        <f>+E6-F6</f>
        <v>103758.90893808</v>
      </c>
      <c r="H6" s="206">
        <f>+[4]Main!$K$3</f>
        <v>335.59180400000002</v>
      </c>
      <c r="I6" s="338" t="s">
        <v>653</v>
      </c>
      <c r="J6" s="223">
        <v>45701</v>
      </c>
      <c r="O6" s="213"/>
      <c r="X6" s="204">
        <v>2012</v>
      </c>
      <c r="Y6" s="204">
        <f>2025-X6</f>
        <v>13</v>
      </c>
    </row>
    <row r="7" spans="1:25" x14ac:dyDescent="0.25">
      <c r="A7" s="266"/>
      <c r="B7" s="80" t="s">
        <v>695</v>
      </c>
      <c r="C7" s="284" t="s">
        <v>696</v>
      </c>
      <c r="D7" s="206">
        <v>7836</v>
      </c>
      <c r="E7" s="206">
        <f>11520000/JPY</f>
        <v>84130.577667421312</v>
      </c>
      <c r="F7" s="206"/>
      <c r="G7" s="206"/>
      <c r="H7" s="206"/>
      <c r="J7" s="223"/>
      <c r="O7" s="213"/>
    </row>
    <row r="8" spans="1:25" x14ac:dyDescent="0.25">
      <c r="A8" s="274" t="s">
        <v>252</v>
      </c>
      <c r="B8" s="80" t="s">
        <v>679</v>
      </c>
      <c r="C8" s="275" t="s">
        <v>680</v>
      </c>
      <c r="D8" s="206">
        <v>211</v>
      </c>
      <c r="E8" s="206">
        <f>10390000/JPY</f>
        <v>75878.185934419045</v>
      </c>
      <c r="F8" s="206"/>
      <c r="G8" s="206"/>
      <c r="H8" s="206"/>
      <c r="J8" s="223"/>
      <c r="O8" s="213"/>
    </row>
    <row r="9" spans="1:25" x14ac:dyDescent="0.25">
      <c r="A9" s="266" t="s">
        <v>252</v>
      </c>
      <c r="B9" s="80" t="s">
        <v>173</v>
      </c>
      <c r="C9" s="204" t="s">
        <v>174</v>
      </c>
      <c r="D9" s="229">
        <v>2825.35</v>
      </c>
      <c r="E9" s="206">
        <f>D9*H9/CAD</f>
        <v>46084.890152016626</v>
      </c>
      <c r="F9" s="206">
        <f>[5]Main!$O$5-[5]Main!$O$6</f>
        <v>-1163</v>
      </c>
      <c r="G9" s="206">
        <f>E9-F9</f>
        <v>47247.890152016626</v>
      </c>
      <c r="H9" s="206">
        <f>+[5]Main!$O$3</f>
        <v>21.19153</v>
      </c>
      <c r="I9" s="203" t="s">
        <v>378</v>
      </c>
      <c r="J9" s="223">
        <v>45047</v>
      </c>
      <c r="O9" s="213"/>
      <c r="X9" s="204">
        <v>1995</v>
      </c>
      <c r="Y9" s="204">
        <f t="shared" ref="Y9:Y11" si="2">2025-X9</f>
        <v>30</v>
      </c>
    </row>
    <row r="10" spans="1:25" x14ac:dyDescent="0.25">
      <c r="A10" s="266" t="s">
        <v>252</v>
      </c>
      <c r="B10" s="80" t="s">
        <v>56</v>
      </c>
      <c r="C10" s="204" t="s">
        <v>478</v>
      </c>
      <c r="D10" s="205">
        <v>56.31</v>
      </c>
      <c r="E10" s="206">
        <v>41017</v>
      </c>
      <c r="F10" s="206">
        <f>+[6]Main!$L$5-[6]Main!$L$6</f>
        <v>1921.489</v>
      </c>
      <c r="G10" s="206">
        <f>+E10-F10</f>
        <v>39095.510999999999</v>
      </c>
      <c r="H10" s="206">
        <f>+[6]Main!$L$3</f>
        <v>507</v>
      </c>
      <c r="I10" s="252" t="s">
        <v>668</v>
      </c>
      <c r="J10" s="223">
        <v>45701</v>
      </c>
      <c r="O10" s="213"/>
      <c r="X10" s="204">
        <v>2009</v>
      </c>
      <c r="Y10" s="204">
        <f t="shared" si="2"/>
        <v>16</v>
      </c>
    </row>
    <row r="11" spans="1:25" x14ac:dyDescent="0.25">
      <c r="A11" s="266" t="s">
        <v>252</v>
      </c>
      <c r="B11" s="80" t="s">
        <v>38</v>
      </c>
      <c r="C11" s="204" t="s">
        <v>39</v>
      </c>
      <c r="D11" s="205">
        <v>91.71</v>
      </c>
      <c r="E11" s="206">
        <f>+D11*[7]Main!$L$3/8</f>
        <v>32488.267499999998</v>
      </c>
      <c r="F11" s="206">
        <f>([7]Main!$L$5-[7]Main!$L$6)/RMB</f>
        <v>30585.01483679525</v>
      </c>
      <c r="G11" s="206">
        <f>E11-F11</f>
        <v>1903.2526632047484</v>
      </c>
      <c r="H11" s="206">
        <f>+[7]Main!$L$3</f>
        <v>2834</v>
      </c>
      <c r="I11" s="203" t="s">
        <v>14</v>
      </c>
      <c r="O11" s="213"/>
      <c r="X11" s="204">
        <v>2000</v>
      </c>
      <c r="Y11" s="204">
        <f t="shared" si="2"/>
        <v>25</v>
      </c>
    </row>
    <row r="12" spans="1:25" x14ac:dyDescent="0.25">
      <c r="A12" s="266" t="s">
        <v>252</v>
      </c>
      <c r="B12" s="80" t="s">
        <v>38</v>
      </c>
      <c r="C12" s="204" t="s">
        <v>631</v>
      </c>
      <c r="F12" s="206"/>
      <c r="G12" s="206"/>
      <c r="H12" s="206"/>
      <c r="O12" s="213"/>
    </row>
    <row r="13" spans="1:25" x14ac:dyDescent="0.25">
      <c r="A13" s="266" t="s">
        <v>252</v>
      </c>
      <c r="B13" s="230" t="s">
        <v>311</v>
      </c>
      <c r="C13" s="204" t="s">
        <v>312</v>
      </c>
      <c r="D13" s="205">
        <v>46.37</v>
      </c>
      <c r="E13" s="206">
        <v>20860</v>
      </c>
      <c r="O13" s="213"/>
      <c r="X13" s="204">
        <v>1987</v>
      </c>
    </row>
    <row r="14" spans="1:25" x14ac:dyDescent="0.25">
      <c r="A14" s="266" t="s">
        <v>252</v>
      </c>
      <c r="B14" s="230" t="s">
        <v>418</v>
      </c>
      <c r="C14" s="204" t="s">
        <v>419</v>
      </c>
      <c r="D14" s="205">
        <v>547.96</v>
      </c>
      <c r="E14" s="206">
        <v>58644</v>
      </c>
      <c r="O14" s="213"/>
    </row>
    <row r="15" spans="1:25" x14ac:dyDescent="0.25">
      <c r="A15" s="204" t="s">
        <v>252</v>
      </c>
      <c r="B15" s="230" t="s">
        <v>420</v>
      </c>
      <c r="C15" s="204" t="s">
        <v>421</v>
      </c>
      <c r="D15" s="205">
        <v>281.41000000000003</v>
      </c>
      <c r="E15" s="206">
        <f>129933/RMB</f>
        <v>19277.893175074183</v>
      </c>
      <c r="O15" s="213"/>
    </row>
    <row r="16" spans="1:25" x14ac:dyDescent="0.25">
      <c r="A16" s="204" t="s">
        <v>252</v>
      </c>
      <c r="B16" s="230" t="s">
        <v>78</v>
      </c>
      <c r="C16" s="204" t="s">
        <v>79</v>
      </c>
      <c r="D16" s="205">
        <v>16.87</v>
      </c>
      <c r="E16" s="206">
        <v>11408</v>
      </c>
      <c r="O16" s="213"/>
      <c r="X16" s="204">
        <v>2007</v>
      </c>
    </row>
    <row r="17" spans="1:24" x14ac:dyDescent="0.25">
      <c r="A17" s="266" t="s">
        <v>252</v>
      </c>
      <c r="B17" s="230" t="s">
        <v>439</v>
      </c>
      <c r="C17" s="204" t="s">
        <v>440</v>
      </c>
      <c r="D17" s="205">
        <v>34.99</v>
      </c>
      <c r="E17" s="206">
        <v>18901</v>
      </c>
      <c r="O17" s="213"/>
    </row>
    <row r="18" spans="1:24" x14ac:dyDescent="0.25">
      <c r="A18" s="266" t="s">
        <v>252</v>
      </c>
      <c r="B18" s="230" t="s">
        <v>84</v>
      </c>
      <c r="C18" s="204" t="s">
        <v>85</v>
      </c>
      <c r="D18" s="205">
        <v>363.45</v>
      </c>
      <c r="E18" s="206">
        <v>15250</v>
      </c>
      <c r="O18" s="213"/>
      <c r="X18" s="204">
        <v>1966</v>
      </c>
    </row>
    <row r="19" spans="1:24" x14ac:dyDescent="0.25">
      <c r="B19" s="230" t="s">
        <v>101</v>
      </c>
      <c r="C19" s="204" t="s">
        <v>102</v>
      </c>
      <c r="D19" s="205">
        <v>408.48</v>
      </c>
      <c r="E19" s="206">
        <v>10570</v>
      </c>
      <c r="O19" s="213"/>
    </row>
    <row r="20" spans="1:24" x14ac:dyDescent="0.25">
      <c r="B20" s="230" t="s">
        <v>105</v>
      </c>
      <c r="C20" s="204" t="s">
        <v>106</v>
      </c>
      <c r="D20" s="205">
        <v>80.52</v>
      </c>
      <c r="E20" s="206">
        <v>10310</v>
      </c>
      <c r="O20" s="213"/>
      <c r="X20" s="204">
        <v>2007</v>
      </c>
    </row>
    <row r="21" spans="1:24" x14ac:dyDescent="0.25">
      <c r="B21" s="230" t="s">
        <v>109</v>
      </c>
      <c r="C21" s="204" t="s">
        <v>110</v>
      </c>
      <c r="D21" s="205">
        <v>8.17</v>
      </c>
      <c r="E21" s="206">
        <v>9320</v>
      </c>
      <c r="O21" s="213"/>
    </row>
    <row r="22" spans="1:24" x14ac:dyDescent="0.25">
      <c r="B22" s="230" t="s">
        <v>113</v>
      </c>
      <c r="C22" s="204" t="s">
        <v>114</v>
      </c>
      <c r="D22" s="205">
        <v>203.42</v>
      </c>
      <c r="E22" s="206">
        <v>8580</v>
      </c>
      <c r="O22" s="213"/>
      <c r="X22" s="204">
        <v>2003</v>
      </c>
    </row>
    <row r="23" spans="1:24" x14ac:dyDescent="0.25">
      <c r="A23" s="267" t="s">
        <v>252</v>
      </c>
      <c r="B23" s="230" t="s">
        <v>116</v>
      </c>
      <c r="C23" s="204" t="s">
        <v>117</v>
      </c>
      <c r="D23" s="205">
        <v>126.81</v>
      </c>
      <c r="E23" s="206">
        <v>8200</v>
      </c>
      <c r="O23" s="213"/>
    </row>
    <row r="24" spans="1:24" x14ac:dyDescent="0.25">
      <c r="A24" s="267" t="s">
        <v>252</v>
      </c>
      <c r="B24" s="230" t="s">
        <v>118</v>
      </c>
      <c r="C24" s="204" t="s">
        <v>119</v>
      </c>
      <c r="D24" s="205">
        <v>50.35</v>
      </c>
      <c r="E24" s="206">
        <v>8150</v>
      </c>
      <c r="O24" s="213"/>
    </row>
    <row r="25" spans="1:24" x14ac:dyDescent="0.25">
      <c r="B25" s="230" t="s">
        <v>121</v>
      </c>
      <c r="C25" s="204" t="s">
        <v>122</v>
      </c>
      <c r="D25" s="205">
        <v>88.7</v>
      </c>
      <c r="E25" s="206">
        <v>7910</v>
      </c>
      <c r="O25" s="213"/>
    </row>
    <row r="26" spans="1:24" x14ac:dyDescent="0.25">
      <c r="A26" s="204" t="s">
        <v>252</v>
      </c>
      <c r="B26" s="230" t="s">
        <v>125</v>
      </c>
      <c r="C26" s="204" t="s">
        <v>126</v>
      </c>
      <c r="D26" s="205">
        <v>50.36</v>
      </c>
      <c r="E26" s="206">
        <v>7140</v>
      </c>
      <c r="O26" s="213"/>
    </row>
    <row r="27" spans="1:24" x14ac:dyDescent="0.25">
      <c r="A27" s="204" t="s">
        <v>252</v>
      </c>
      <c r="B27" s="230" t="s">
        <v>127</v>
      </c>
      <c r="C27" s="204" t="s">
        <v>128</v>
      </c>
      <c r="D27" s="205">
        <v>80.58</v>
      </c>
      <c r="E27" s="206">
        <v>6930</v>
      </c>
      <c r="O27" s="213"/>
    </row>
    <row r="28" spans="1:24" x14ac:dyDescent="0.25">
      <c r="B28" s="230" t="s">
        <v>133</v>
      </c>
      <c r="C28" s="204" t="s">
        <v>134</v>
      </c>
      <c r="D28" s="205">
        <v>54.6</v>
      </c>
      <c r="E28" s="206">
        <v>6370</v>
      </c>
      <c r="O28" s="213"/>
    </row>
    <row r="29" spans="1:24" x14ac:dyDescent="0.25">
      <c r="A29" s="204" t="s">
        <v>252</v>
      </c>
      <c r="B29" s="230" t="s">
        <v>135</v>
      </c>
      <c r="C29" s="204" t="s">
        <v>136</v>
      </c>
      <c r="D29" s="205">
        <v>62.59</v>
      </c>
      <c r="E29" s="206">
        <v>6350</v>
      </c>
      <c r="O29" s="213"/>
    </row>
    <row r="30" spans="1:24" x14ac:dyDescent="0.25">
      <c r="A30" s="267" t="s">
        <v>252</v>
      </c>
      <c r="B30" s="230" t="s">
        <v>137</v>
      </c>
      <c r="C30" s="204" t="s">
        <v>137</v>
      </c>
      <c r="D30" s="205">
        <v>62.71</v>
      </c>
      <c r="E30" s="206">
        <v>3603</v>
      </c>
      <c r="O30" s="213"/>
    </row>
    <row r="31" spans="1:24" x14ac:dyDescent="0.25">
      <c r="B31" s="80" t="s">
        <v>331</v>
      </c>
      <c r="C31" s="204" t="s">
        <v>614</v>
      </c>
      <c r="D31" s="205">
        <v>13.99</v>
      </c>
      <c r="E31" s="206">
        <f>+D31*H31</f>
        <v>1249.307</v>
      </c>
      <c r="F31" s="206">
        <f>+[8]Main!$K$5-[8]Main!$K$6</f>
        <v>357.65600000000001</v>
      </c>
      <c r="G31" s="206">
        <f>+E31-F31</f>
        <v>891.65100000000007</v>
      </c>
      <c r="H31" s="206">
        <f>+[8]Main!$K$3</f>
        <v>89.3</v>
      </c>
      <c r="I31" s="203" t="s">
        <v>612</v>
      </c>
      <c r="J31" s="223">
        <v>45546</v>
      </c>
      <c r="O31" s="213"/>
    </row>
    <row r="32" spans="1:24" x14ac:dyDescent="0.25">
      <c r="A32" s="204" t="s">
        <v>252</v>
      </c>
      <c r="B32" s="230" t="s">
        <v>499</v>
      </c>
      <c r="C32" s="204" t="s">
        <v>500</v>
      </c>
      <c r="O32" s="213"/>
    </row>
    <row r="33" spans="1:15" x14ac:dyDescent="0.25">
      <c r="A33" s="204" t="s">
        <v>252</v>
      </c>
      <c r="B33" s="230" t="s">
        <v>138</v>
      </c>
      <c r="C33" s="204" t="s">
        <v>139</v>
      </c>
      <c r="D33" s="205">
        <v>21.19</v>
      </c>
      <c r="E33" s="206">
        <v>2965</v>
      </c>
      <c r="O33" s="213"/>
    </row>
    <row r="34" spans="1:15" x14ac:dyDescent="0.25">
      <c r="B34" s="230" t="s">
        <v>214</v>
      </c>
      <c r="C34" s="204" t="s">
        <v>215</v>
      </c>
      <c r="D34" s="205">
        <v>13.95</v>
      </c>
      <c r="E34" s="206">
        <v>2030</v>
      </c>
      <c r="O34" s="213"/>
    </row>
    <row r="35" spans="1:15" x14ac:dyDescent="0.25">
      <c r="B35" s="230" t="s">
        <v>216</v>
      </c>
      <c r="C35" s="204" t="s">
        <v>217</v>
      </c>
      <c r="D35" s="205">
        <v>19.95</v>
      </c>
      <c r="E35" s="206">
        <v>2560</v>
      </c>
      <c r="O35" s="213"/>
    </row>
    <row r="36" spans="1:15" x14ac:dyDescent="0.25">
      <c r="B36" s="230" t="s">
        <v>225</v>
      </c>
      <c r="C36" s="204" t="s">
        <v>226</v>
      </c>
      <c r="O36" s="213"/>
    </row>
    <row r="37" spans="1:15" x14ac:dyDescent="0.25">
      <c r="B37" s="230" t="s">
        <v>391</v>
      </c>
      <c r="O37" s="213"/>
    </row>
    <row r="38" spans="1:15" x14ac:dyDescent="0.25">
      <c r="A38" s="204" t="s">
        <v>252</v>
      </c>
      <c r="B38" s="230" t="s">
        <v>489</v>
      </c>
      <c r="C38" s="204" t="s">
        <v>490</v>
      </c>
      <c r="O38" s="213"/>
    </row>
    <row r="39" spans="1:15" x14ac:dyDescent="0.25">
      <c r="B39" s="339" t="s">
        <v>736</v>
      </c>
      <c r="C39" s="337" t="s">
        <v>737</v>
      </c>
      <c r="D39" s="205">
        <v>0.93</v>
      </c>
      <c r="O39" s="213"/>
    </row>
    <row r="40" spans="1:15" x14ac:dyDescent="0.25">
      <c r="A40" s="204" t="s">
        <v>252</v>
      </c>
      <c r="B40" s="230" t="s">
        <v>424</v>
      </c>
      <c r="C40" s="204" t="s">
        <v>425</v>
      </c>
      <c r="O40" s="213"/>
    </row>
    <row r="41" spans="1:15" x14ac:dyDescent="0.25">
      <c r="A41" s="204" t="s">
        <v>252</v>
      </c>
      <c r="B41" s="230" t="s">
        <v>522</v>
      </c>
      <c r="C41" s="204" t="s">
        <v>523</v>
      </c>
      <c r="O41" s="213"/>
    </row>
    <row r="42" spans="1:15" x14ac:dyDescent="0.25">
      <c r="B42" s="230" t="s">
        <v>633</v>
      </c>
      <c r="C42" s="204" t="s">
        <v>632</v>
      </c>
      <c r="O42" s="213"/>
    </row>
    <row r="43" spans="1:15" x14ac:dyDescent="0.25">
      <c r="A43" s="204" t="s">
        <v>252</v>
      </c>
      <c r="B43" s="230" t="s">
        <v>526</v>
      </c>
      <c r="C43" s="204" t="s">
        <v>527</v>
      </c>
      <c r="O43" s="213"/>
    </row>
    <row r="44" spans="1:15" x14ac:dyDescent="0.25">
      <c r="A44" s="204" t="s">
        <v>252</v>
      </c>
      <c r="B44" s="230" t="s">
        <v>534</v>
      </c>
      <c r="C44" s="204" t="s">
        <v>535</v>
      </c>
      <c r="O44" s="213"/>
    </row>
    <row r="45" spans="1:15" x14ac:dyDescent="0.25">
      <c r="A45" s="204" t="s">
        <v>252</v>
      </c>
      <c r="B45" s="230" t="s">
        <v>542</v>
      </c>
      <c r="C45" s="204" t="s">
        <v>543</v>
      </c>
      <c r="O45" s="213"/>
    </row>
    <row r="46" spans="1:15" x14ac:dyDescent="0.25">
      <c r="A46" s="204" t="s">
        <v>252</v>
      </c>
      <c r="B46" s="231" t="s">
        <v>582</v>
      </c>
      <c r="C46" s="232" t="s">
        <v>583</v>
      </c>
      <c r="D46" s="233"/>
      <c r="E46" s="234"/>
      <c r="F46" s="235"/>
      <c r="G46" s="235"/>
      <c r="H46" s="235"/>
      <c r="I46" s="235"/>
      <c r="J46" s="235"/>
      <c r="K46" s="222"/>
      <c r="L46" s="222"/>
      <c r="M46" s="222"/>
      <c r="N46" s="222"/>
      <c r="O46" s="236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ColWidth="9.1796875" defaultRowHeight="12.5" x14ac:dyDescent="0.25"/>
  <cols>
    <col min="1" max="1" width="5" style="54" bestFit="1" customWidth="1"/>
    <col min="2" max="2" width="13.453125" style="54" customWidth="1"/>
    <col min="3" max="3" width="11" style="54" customWidth="1"/>
    <col min="4" max="4" width="9.1796875" style="54"/>
    <col min="5" max="5" width="10" style="54" customWidth="1"/>
    <col min="6" max="6" width="9.1796875" style="54"/>
    <col min="7" max="7" width="10.1796875" style="54" customWidth="1"/>
    <col min="8" max="9" width="9.1796875" style="54"/>
    <col min="10" max="10" width="10.81640625" style="54" customWidth="1"/>
    <col min="11" max="16384" width="9.1796875" style="54"/>
  </cols>
  <sheetData>
    <row r="1" spans="1:24" x14ac:dyDescent="0.25">
      <c r="A1" s="5" t="s">
        <v>142</v>
      </c>
      <c r="E1" s="143" t="s">
        <v>252</v>
      </c>
    </row>
    <row r="2" spans="1:24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5">
      <c r="A3" s="266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2011161.1199999999</v>
      </c>
      <c r="F3" s="22">
        <f>[9]Main!$K$5-[9]Main!$K$6</f>
        <v>48579</v>
      </c>
      <c r="G3" s="22">
        <f>+E3-F3</f>
        <v>1962582.1199999999</v>
      </c>
      <c r="H3" s="22">
        <f>+[9]Main!$K$3</f>
        <v>10771</v>
      </c>
      <c r="I3" s="194" t="s">
        <v>612</v>
      </c>
      <c r="J3" s="37">
        <v>45581</v>
      </c>
      <c r="K3" s="27">
        <f>+[9]Model!$BZ$49</f>
        <v>151.96798816809454</v>
      </c>
      <c r="L3" s="28">
        <f>K3/D3-1</f>
        <v>-0.18611831529512357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352.66978486730875</v>
      </c>
      <c r="Q3" s="30">
        <f>+($G3/$H3)/U3</f>
        <v>62.828705555706001</v>
      </c>
      <c r="R3" s="30">
        <f>+($G3/$H3)/V3</f>
        <v>60.678171442175881</v>
      </c>
      <c r="S3" s="31">
        <f>+($G3/$H3)/W3</f>
        <v>40.799965312713276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3.0028893337146103</v>
      </c>
      <c r="W3" s="33">
        <f>+[9]Model!$BR$33</f>
        <v>4.4659310961776679</v>
      </c>
      <c r="X3" s="20">
        <v>1994</v>
      </c>
    </row>
    <row r="4" spans="1:24" s="20" customFormat="1" x14ac:dyDescent="0.25">
      <c r="A4" s="268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4" t="s">
        <v>612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268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2" t="s">
        <v>612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x14ac:dyDescent="0.25">
      <c r="A6" s="268" t="s">
        <v>252</v>
      </c>
      <c r="B6" s="90" t="s">
        <v>148</v>
      </c>
      <c r="C6" s="20" t="s">
        <v>149</v>
      </c>
      <c r="D6" s="21">
        <v>160</v>
      </c>
      <c r="E6" s="22">
        <f>+D6*H6</f>
        <v>377425.18351999996</v>
      </c>
      <c r="F6" s="22">
        <f>[12]Main!$L$5-[12]Main!$L$6</f>
        <v>5430.6890000000003</v>
      </c>
      <c r="G6" s="22">
        <f>E6-F6</f>
        <v>371994.49451999995</v>
      </c>
      <c r="H6" s="22">
        <f>+[12]Main!$L$3</f>
        <v>2358.9073969999999</v>
      </c>
      <c r="I6" s="249" t="s">
        <v>668</v>
      </c>
      <c r="J6" s="74">
        <v>45692</v>
      </c>
    </row>
    <row r="7" spans="1:24" s="20" customFormat="1" x14ac:dyDescent="0.25">
      <c r="A7" s="268" t="s">
        <v>252</v>
      </c>
      <c r="B7" s="5" t="s">
        <v>21</v>
      </c>
      <c r="C7" s="20" t="s">
        <v>22</v>
      </c>
      <c r="D7" s="21">
        <v>265.39999999999998</v>
      </c>
      <c r="E7" s="22">
        <f>+D7*[13]Main!$M$3</f>
        <v>258234.19999999998</v>
      </c>
      <c r="F7" s="22">
        <f>+[13]Main!$M$5-[13]Main!$M$6</f>
        <v>17653</v>
      </c>
      <c r="G7" s="22">
        <f>E7-F7</f>
        <v>240581.19999999998</v>
      </c>
      <c r="H7" s="22">
        <f>+[13]Main!$M$3</f>
        <v>973</v>
      </c>
      <c r="I7" s="144" t="s">
        <v>612</v>
      </c>
      <c r="J7" s="37">
        <v>45555</v>
      </c>
      <c r="K7" s="27">
        <f>+[13]Model!$AE$65</f>
        <v>170.42672158668651</v>
      </c>
      <c r="L7" s="28">
        <f>+K7/D7-1</f>
        <v>-0.35784957955280139</v>
      </c>
      <c r="M7" s="28">
        <f>+[13]Model!$AE$63</f>
        <v>0.08</v>
      </c>
      <c r="N7" s="28">
        <f>+[13]Model!$AE$62</f>
        <v>0.01</v>
      </c>
      <c r="O7" s="28">
        <v>0</v>
      </c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x14ac:dyDescent="0.25">
      <c r="A8" s="268" t="s">
        <v>252</v>
      </c>
      <c r="B8" s="5" t="s">
        <v>255</v>
      </c>
      <c r="C8" s="64" t="s">
        <v>255</v>
      </c>
      <c r="D8" s="102">
        <v>221</v>
      </c>
      <c r="E8" s="53">
        <f>D8*H8</f>
        <v>203320</v>
      </c>
      <c r="F8" s="53">
        <f>[14]Main!$M$5-[14]Main!$M$6</f>
        <v>-38732</v>
      </c>
      <c r="G8" s="22">
        <f>E8-F8</f>
        <v>242052</v>
      </c>
      <c r="H8" s="53">
        <f>[14]Main!$M$3</f>
        <v>920</v>
      </c>
      <c r="I8" s="162" t="s">
        <v>612</v>
      </c>
      <c r="J8" s="74">
        <v>45565</v>
      </c>
      <c r="X8" s="54">
        <v>1911</v>
      </c>
    </row>
    <row r="9" spans="1:24" s="20" customFormat="1" x14ac:dyDescent="0.25">
      <c r="A9" s="268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2" t="s">
        <v>612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268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2" t="s">
        <v>612</v>
      </c>
      <c r="J10" s="37">
        <v>45565</v>
      </c>
      <c r="X10" s="54">
        <v>2005</v>
      </c>
    </row>
    <row r="11" spans="1:24" x14ac:dyDescent="0.25">
      <c r="A11" s="268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2" t="s">
        <v>612</v>
      </c>
      <c r="J11" s="74">
        <v>45565</v>
      </c>
      <c r="X11" s="54">
        <v>2002</v>
      </c>
    </row>
    <row r="12" spans="1:24" x14ac:dyDescent="0.25">
      <c r="A12" s="268" t="s">
        <v>252</v>
      </c>
      <c r="B12" s="5" t="s">
        <v>44</v>
      </c>
      <c r="C12" s="20" t="s">
        <v>45</v>
      </c>
      <c r="D12" s="21">
        <v>152.37</v>
      </c>
      <c r="E12" s="22">
        <f>+D12*[18]Main!$M$3</f>
        <v>50434.47</v>
      </c>
      <c r="F12" s="22">
        <f>+[18]Main!$M$5-[18]Main!$M$6</f>
        <v>5027.4579999999996</v>
      </c>
      <c r="G12" s="22">
        <f t="shared" si="1"/>
        <v>45407.012000000002</v>
      </c>
      <c r="H12" s="22">
        <f>+[18]Main!$M$3</f>
        <v>331</v>
      </c>
      <c r="I12" s="34" t="s">
        <v>14</v>
      </c>
      <c r="J12" s="74">
        <v>45728</v>
      </c>
      <c r="X12" s="54">
        <v>2012</v>
      </c>
    </row>
    <row r="13" spans="1:24" x14ac:dyDescent="0.25">
      <c r="A13" s="268" t="s">
        <v>252</v>
      </c>
      <c r="B13" s="5" t="s">
        <v>52</v>
      </c>
      <c r="C13" s="20" t="s">
        <v>53</v>
      </c>
      <c r="D13" s="21">
        <v>102.06</v>
      </c>
      <c r="E13" s="22">
        <f>+D13*H13</f>
        <v>34409.761186500007</v>
      </c>
      <c r="F13" s="53">
        <f>+[19]Main!$O$5-[19]Main!$O$6</f>
        <v>970</v>
      </c>
      <c r="G13" s="22">
        <f>E13-F13</f>
        <v>33439.761186500007</v>
      </c>
      <c r="H13" s="53">
        <f>+[19]Main!$O$3</f>
        <v>337.15227500000003</v>
      </c>
      <c r="I13" s="73" t="s">
        <v>199</v>
      </c>
      <c r="J13" s="74">
        <v>45783</v>
      </c>
      <c r="X13" s="54">
        <v>2010</v>
      </c>
    </row>
    <row r="14" spans="1:24" x14ac:dyDescent="0.25">
      <c r="A14" s="268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5">
      <c r="A15" s="268" t="s">
        <v>252</v>
      </c>
      <c r="B15" s="80" t="s">
        <v>68</v>
      </c>
      <c r="C15" s="145" t="s">
        <v>69</v>
      </c>
      <c r="D15" s="146">
        <v>520</v>
      </c>
      <c r="E15" s="147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197" t="s">
        <v>612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268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3" t="s">
        <v>653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5">
      <c r="A17" s="126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3" t="s">
        <v>668</v>
      </c>
      <c r="J17" s="74">
        <v>45719</v>
      </c>
    </row>
    <row r="18" spans="1:24" s="20" customFormat="1" x14ac:dyDescent="0.25">
      <c r="A18" s="268" t="s">
        <v>252</v>
      </c>
      <c r="B18" s="90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2" t="s">
        <v>653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5">
      <c r="A19" s="268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4" t="s">
        <v>612</v>
      </c>
      <c r="J19" s="37">
        <v>45555</v>
      </c>
      <c r="X19" s="54">
        <v>2011</v>
      </c>
    </row>
    <row r="20" spans="1:24" s="20" customFormat="1" x14ac:dyDescent="0.25">
      <c r="A20" s="126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5">
      <c r="A21" s="268" t="s">
        <v>252</v>
      </c>
      <c r="B21" s="5" t="s">
        <v>392</v>
      </c>
      <c r="C21" s="126" t="s">
        <v>498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194" t="s">
        <v>612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5">
      <c r="A22" s="126" t="s">
        <v>252</v>
      </c>
      <c r="B22" s="85" t="s">
        <v>326</v>
      </c>
      <c r="C22" s="89" t="s">
        <v>372</v>
      </c>
      <c r="D22" s="54">
        <v>25.54</v>
      </c>
      <c r="E22" s="53">
        <v>4800</v>
      </c>
      <c r="X22" s="54">
        <v>2012</v>
      </c>
    </row>
    <row r="23" spans="1:24" x14ac:dyDescent="0.25">
      <c r="A23" s="126" t="s">
        <v>252</v>
      </c>
      <c r="B23" s="101" t="s">
        <v>385</v>
      </c>
      <c r="C23" s="101" t="s">
        <v>386</v>
      </c>
      <c r="D23" s="54">
        <v>10.88</v>
      </c>
      <c r="E23" s="53">
        <v>3000</v>
      </c>
    </row>
    <row r="24" spans="1:24" x14ac:dyDescent="0.25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5">
      <c r="A25" s="126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5">
      <c r="A26" s="126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26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268" t="s">
        <v>252</v>
      </c>
      <c r="B28" s="118" t="s">
        <v>426</v>
      </c>
      <c r="C28" s="118" t="s">
        <v>427</v>
      </c>
      <c r="D28" s="21"/>
      <c r="E28" s="22"/>
      <c r="F28" s="22"/>
      <c r="G28" s="22"/>
      <c r="H28" s="22"/>
      <c r="I28" s="23"/>
      <c r="J28" s="74"/>
    </row>
    <row r="29" spans="1:24" x14ac:dyDescent="0.25">
      <c r="A29" s="326" t="s">
        <v>252</v>
      </c>
      <c r="B29" s="325" t="s">
        <v>718</v>
      </c>
      <c r="C29" s="325" t="s">
        <v>719</v>
      </c>
      <c r="D29" s="21"/>
      <c r="E29" s="22"/>
      <c r="F29" s="22"/>
      <c r="G29" s="22"/>
      <c r="H29" s="22"/>
      <c r="I29" s="23"/>
      <c r="J29" s="74"/>
    </row>
    <row r="30" spans="1:24" x14ac:dyDescent="0.25">
      <c r="A30" s="126" t="s">
        <v>252</v>
      </c>
      <c r="B30" s="118" t="s">
        <v>424</v>
      </c>
      <c r="C30" s="118" t="s">
        <v>425</v>
      </c>
      <c r="D30" s="21"/>
      <c r="E30" s="22"/>
      <c r="F30" s="53"/>
      <c r="G30" s="22"/>
      <c r="H30" s="53"/>
      <c r="I30" s="73"/>
      <c r="J30" s="74"/>
    </row>
    <row r="31" spans="1:24" x14ac:dyDescent="0.25">
      <c r="A31" s="268" t="s">
        <v>252</v>
      </c>
      <c r="B31" s="127" t="s">
        <v>503</v>
      </c>
      <c r="C31" s="126" t="s">
        <v>504</v>
      </c>
      <c r="D31" s="21"/>
      <c r="E31" s="22"/>
    </row>
    <row r="32" spans="1:24" x14ac:dyDescent="0.25">
      <c r="A32" s="126" t="s">
        <v>252</v>
      </c>
      <c r="B32" s="127" t="s">
        <v>496</v>
      </c>
      <c r="C32" s="126" t="s">
        <v>497</v>
      </c>
      <c r="D32" s="21"/>
      <c r="E32" s="22"/>
    </row>
    <row r="33" spans="1:24" x14ac:dyDescent="0.25">
      <c r="A33" s="268" t="s">
        <v>252</v>
      </c>
      <c r="B33" s="127" t="s">
        <v>505</v>
      </c>
      <c r="C33" s="126" t="s">
        <v>506</v>
      </c>
      <c r="D33" s="21"/>
      <c r="E33" s="22"/>
    </row>
    <row r="34" spans="1:24" x14ac:dyDescent="0.25">
      <c r="B34" s="83" t="s">
        <v>111</v>
      </c>
      <c r="C34" s="20" t="s">
        <v>112</v>
      </c>
      <c r="D34" s="21">
        <v>14.73</v>
      </c>
      <c r="E34" s="22">
        <v>9140</v>
      </c>
    </row>
    <row r="35" spans="1:24" x14ac:dyDescent="0.25">
      <c r="A35" s="126" t="s">
        <v>252</v>
      </c>
      <c r="B35" s="118" t="s">
        <v>432</v>
      </c>
      <c r="C35" s="118" t="s">
        <v>433</v>
      </c>
      <c r="D35" s="21"/>
      <c r="E35" s="22"/>
    </row>
    <row r="36" spans="1:24" x14ac:dyDescent="0.25">
      <c r="A36" s="129" t="s">
        <v>252</v>
      </c>
      <c r="B36" s="118" t="s">
        <v>434</v>
      </c>
      <c r="C36" s="118" t="s">
        <v>435</v>
      </c>
      <c r="D36" s="21"/>
      <c r="E36" s="22"/>
    </row>
    <row r="37" spans="1:24" x14ac:dyDescent="0.25">
      <c r="A37" s="126" t="s">
        <v>252</v>
      </c>
      <c r="B37" s="118" t="s">
        <v>436</v>
      </c>
      <c r="C37" s="118" t="s">
        <v>89</v>
      </c>
      <c r="D37" s="21"/>
      <c r="E37" s="22"/>
    </row>
    <row r="38" spans="1:24" x14ac:dyDescent="0.25">
      <c r="A38" s="268" t="s">
        <v>252</v>
      </c>
      <c r="B38" s="83" t="s">
        <v>186</v>
      </c>
      <c r="C38" s="20" t="s">
        <v>187</v>
      </c>
      <c r="D38" s="21">
        <v>87.46</v>
      </c>
      <c r="E38" s="22">
        <v>16020</v>
      </c>
    </row>
    <row r="39" spans="1:24" x14ac:dyDescent="0.25">
      <c r="A39" s="268" t="s">
        <v>252</v>
      </c>
      <c r="B39" s="330" t="s">
        <v>724</v>
      </c>
      <c r="C39" s="329" t="s">
        <v>421</v>
      </c>
      <c r="D39" s="21"/>
      <c r="E39" s="22"/>
    </row>
    <row r="40" spans="1:24" s="20" customFormat="1" x14ac:dyDescent="0.25">
      <c r="A40" s="126" t="s">
        <v>252</v>
      </c>
      <c r="B40" s="83" t="s">
        <v>123</v>
      </c>
      <c r="C40" s="20" t="s">
        <v>124</v>
      </c>
      <c r="D40" s="21">
        <v>78.3</v>
      </c>
      <c r="E40" s="22">
        <v>7580</v>
      </c>
      <c r="F40" s="23"/>
      <c r="G40" s="23"/>
      <c r="H40" s="23"/>
      <c r="I40" s="23"/>
      <c r="J40" s="23"/>
      <c r="K40" s="24"/>
      <c r="L40" s="24"/>
      <c r="M40" s="24"/>
      <c r="N40" s="24"/>
      <c r="O40" s="26"/>
      <c r="P40" s="25"/>
      <c r="Q40" s="24"/>
      <c r="R40" s="24"/>
      <c r="S40" s="26"/>
      <c r="T40" s="25"/>
      <c r="U40" s="24"/>
      <c r="V40" s="24"/>
      <c r="W40" s="26"/>
      <c r="X40" s="20">
        <v>2012</v>
      </c>
    </row>
    <row r="41" spans="1:24" s="20" customFormat="1" x14ac:dyDescent="0.25">
      <c r="A41" s="126" t="s">
        <v>252</v>
      </c>
      <c r="B41" s="126" t="s">
        <v>487</v>
      </c>
      <c r="C41" s="126" t="s">
        <v>488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26" t="s">
        <v>252</v>
      </c>
      <c r="B42" s="126" t="s">
        <v>491</v>
      </c>
      <c r="C42" s="126" t="s">
        <v>91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29" t="s">
        <v>252</v>
      </c>
      <c r="B43" s="5" t="s">
        <v>576</v>
      </c>
      <c r="C43" s="129" t="s">
        <v>577</v>
      </c>
      <c r="D43" s="21">
        <v>32.659999999999997</v>
      </c>
      <c r="E43" s="22">
        <f>+D43*H43</f>
        <v>3319.1307980999995</v>
      </c>
      <c r="F43" s="22">
        <f>+[27]Main!$M$5-[27]Main!$M$6</f>
        <v>487.66099999999994</v>
      </c>
      <c r="G43" s="22">
        <f>+E43-F43</f>
        <v>2831.4697980999995</v>
      </c>
      <c r="H43" s="22">
        <f>+[27]Main!$M$3</f>
        <v>101.626785</v>
      </c>
      <c r="I43" s="161" t="s">
        <v>612</v>
      </c>
      <c r="J43" s="37">
        <v>45560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29" t="s">
        <v>252</v>
      </c>
      <c r="B44" s="5" t="s">
        <v>560</v>
      </c>
      <c r="C44" s="129" t="s">
        <v>561</v>
      </c>
      <c r="D44" s="21">
        <v>11.1</v>
      </c>
      <c r="E44" s="22">
        <f>+D44*H44</f>
        <v>3353.2079243999997</v>
      </c>
      <c r="F44" s="22">
        <f>+[28]Main!$H$5-[28]Main!$H$6</f>
        <v>1019.114</v>
      </c>
      <c r="G44" s="22">
        <f>+E44-F44</f>
        <v>2334.0939243999997</v>
      </c>
      <c r="H44" s="22">
        <f>+[28]Main!$H$3</f>
        <v>302.09080399999999</v>
      </c>
      <c r="I44" s="161" t="s">
        <v>612</v>
      </c>
      <c r="J44" s="37">
        <v>45560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29" t="s">
        <v>252</v>
      </c>
      <c r="B45" s="5" t="s">
        <v>578</v>
      </c>
      <c r="C45" s="129" t="s">
        <v>579</v>
      </c>
      <c r="D45" s="21">
        <v>27.26</v>
      </c>
      <c r="E45" s="22">
        <f>+D45*H45</f>
        <v>1998.6214199999999</v>
      </c>
      <c r="F45" s="22">
        <f>+[29]Main!$K$5-[29]Main!$K$6</f>
        <v>-11.827999999999975</v>
      </c>
      <c r="G45" s="22">
        <f>+E45-F45</f>
        <v>2010.4494199999999</v>
      </c>
      <c r="H45" s="22">
        <f>+[29]Main!$K$3</f>
        <v>73.316999999999993</v>
      </c>
      <c r="I45" s="165" t="s">
        <v>612</v>
      </c>
      <c r="J45" s="178">
        <v>45566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26"/>
      <c r="B46" s="5" t="s">
        <v>691</v>
      </c>
      <c r="C46" s="282" t="s">
        <v>692</v>
      </c>
      <c r="D46" s="21">
        <v>6.84</v>
      </c>
      <c r="E46" s="22">
        <f>+D46*H46</f>
        <v>959.65200000000004</v>
      </c>
      <c r="F46" s="22">
        <f>+[30]Main!$M$5-[30]Main!$M$6</f>
        <v>-36.250999999999976</v>
      </c>
      <c r="G46" s="22">
        <f>+E46-F46</f>
        <v>995.90300000000002</v>
      </c>
      <c r="H46" s="22">
        <f>+[30]Main!$M$3</f>
        <v>140.30000000000001</v>
      </c>
      <c r="I46" s="283" t="s">
        <v>653</v>
      </c>
      <c r="J46" s="37">
        <v>45719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26"/>
      <c r="B47" s="5" t="s">
        <v>613</v>
      </c>
      <c r="C47" s="131" t="s">
        <v>613</v>
      </c>
      <c r="D47" s="21">
        <v>13.22</v>
      </c>
      <c r="E47" s="22">
        <f>+D47*H47</f>
        <v>5412.6671779000008</v>
      </c>
      <c r="F47" s="22">
        <f>+[31]Main!$J$5-[31]Main!$J$6</f>
        <v>4999</v>
      </c>
      <c r="G47" s="22">
        <f>+E47-F47</f>
        <v>413.66717790000075</v>
      </c>
      <c r="H47" s="22">
        <f>+[31]Main!$J$3</f>
        <v>409.43019500000003</v>
      </c>
      <c r="I47" s="132" t="s">
        <v>612</v>
      </c>
      <c r="J47" s="37">
        <v>45540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26" t="s">
        <v>252</v>
      </c>
      <c r="B48" s="126" t="s">
        <v>492</v>
      </c>
      <c r="C48" s="126" t="s">
        <v>493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26" t="s">
        <v>252</v>
      </c>
      <c r="B49" s="126" t="s">
        <v>495</v>
      </c>
      <c r="C49" s="126" t="s">
        <v>494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26" t="s">
        <v>252</v>
      </c>
      <c r="B50" s="126" t="s">
        <v>509</v>
      </c>
      <c r="C50" s="126" t="s">
        <v>510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26" t="s">
        <v>252</v>
      </c>
      <c r="B51" s="126" t="s">
        <v>512</v>
      </c>
      <c r="C51" s="126" t="s">
        <v>513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26" t="s">
        <v>252</v>
      </c>
      <c r="B52" s="126" t="s">
        <v>518</v>
      </c>
      <c r="C52" s="126" t="s">
        <v>519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26" t="s">
        <v>252</v>
      </c>
      <c r="B53" s="126" t="s">
        <v>520</v>
      </c>
      <c r="C53" s="126" t="s">
        <v>521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26" t="s">
        <v>252</v>
      </c>
      <c r="B54" s="126" t="s">
        <v>524</v>
      </c>
      <c r="C54" s="126" t="s">
        <v>525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26" t="s">
        <v>252</v>
      </c>
      <c r="B55" s="126" t="s">
        <v>538</v>
      </c>
      <c r="C55" s="126" t="s">
        <v>539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28" t="s">
        <v>252</v>
      </c>
      <c r="B56" s="128" t="s">
        <v>544</v>
      </c>
      <c r="C56" s="128" t="s">
        <v>545</v>
      </c>
      <c r="D56" s="240">
        <v>31.04</v>
      </c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28" t="s">
        <v>252</v>
      </c>
      <c r="B57" s="128" t="s">
        <v>546</v>
      </c>
      <c r="C57" s="128" t="s">
        <v>547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29" t="s">
        <v>252</v>
      </c>
      <c r="B58" s="129" t="s">
        <v>562</v>
      </c>
      <c r="C58" s="129" t="s">
        <v>563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29" t="s">
        <v>252</v>
      </c>
      <c r="B59" s="129" t="s">
        <v>564</v>
      </c>
      <c r="C59" s="129" t="s">
        <v>565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29" t="s">
        <v>252</v>
      </c>
      <c r="B60" s="129" t="s">
        <v>566</v>
      </c>
      <c r="C60" s="129" t="s">
        <v>567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29" t="s">
        <v>252</v>
      </c>
      <c r="B61" s="129" t="s">
        <v>572</v>
      </c>
      <c r="C61" s="129" t="s">
        <v>573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29" t="s">
        <v>252</v>
      </c>
      <c r="B62" s="129" t="s">
        <v>574</v>
      </c>
      <c r="C62" s="129" t="s">
        <v>575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29" t="s">
        <v>252</v>
      </c>
      <c r="B63" s="129" t="s">
        <v>580</v>
      </c>
      <c r="C63" s="129" t="s">
        <v>581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29" t="s">
        <v>252</v>
      </c>
      <c r="B64" s="129" t="s">
        <v>586</v>
      </c>
      <c r="C64" s="129" t="s">
        <v>587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29" t="s">
        <v>252</v>
      </c>
      <c r="B65" s="129" t="s">
        <v>588</v>
      </c>
      <c r="C65" s="129" t="s">
        <v>589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29"/>
      <c r="B66" s="5" t="s">
        <v>618</v>
      </c>
      <c r="C66" s="142" t="s">
        <v>619</v>
      </c>
      <c r="D66" s="21">
        <v>16.170000000000002</v>
      </c>
      <c r="E66" s="22">
        <f>+D66*H66</f>
        <v>5800.7075164500011</v>
      </c>
      <c r="F66" s="22">
        <f>+[32]Main!$M$5-[32]Main!$M$6</f>
        <v>200.15600000000001</v>
      </c>
      <c r="G66" s="22">
        <f>+E66-F66</f>
        <v>5600.5515164500011</v>
      </c>
      <c r="H66" s="22">
        <f>+[32]Main!$M$3</f>
        <v>358.732685</v>
      </c>
      <c r="I66" s="237" t="s">
        <v>653</v>
      </c>
      <c r="J66" s="37">
        <v>45639</v>
      </c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29"/>
      <c r="B67" s="5" t="s">
        <v>661</v>
      </c>
      <c r="C67" s="239" t="s">
        <v>662</v>
      </c>
      <c r="D67" s="240">
        <v>27.66</v>
      </c>
      <c r="E67" s="22">
        <f>+D67*H67</f>
        <v>5513.7476638799999</v>
      </c>
      <c r="F67" s="22">
        <f>+[33]Main!$L$5-[33]Main!$L$6</f>
        <v>2288.1999999999998</v>
      </c>
      <c r="G67" s="22">
        <f>+E67-F67</f>
        <v>3225.5476638800001</v>
      </c>
      <c r="H67" s="22">
        <f>+[33]Main!$L$3</f>
        <v>199.34011799999999</v>
      </c>
      <c r="I67" s="241" t="s">
        <v>653</v>
      </c>
      <c r="J67" s="37">
        <v>45652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29" t="s">
        <v>252</v>
      </c>
      <c r="B68" s="129" t="s">
        <v>590</v>
      </c>
      <c r="C68" s="129" t="s">
        <v>591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29" t="s">
        <v>252</v>
      </c>
      <c r="B69" s="129" t="s">
        <v>600</v>
      </c>
      <c r="C69" s="129" t="s">
        <v>601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29" t="s">
        <v>252</v>
      </c>
      <c r="B70" s="129" t="s">
        <v>604</v>
      </c>
      <c r="C70" s="129" t="s">
        <v>605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29" t="s">
        <v>252</v>
      </c>
      <c r="B71" s="129" t="s">
        <v>606</v>
      </c>
      <c r="C71" s="129" t="s">
        <v>607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29" t="s">
        <v>252</v>
      </c>
      <c r="B72" s="129" t="s">
        <v>608</v>
      </c>
      <c r="C72" s="129" t="s">
        <v>609</v>
      </c>
      <c r="D72" s="21"/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29"/>
      <c r="B73" s="204" t="s">
        <v>655</v>
      </c>
      <c r="C73" s="204" t="s">
        <v>656</v>
      </c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5">
      <c r="A74" s="129"/>
      <c r="B74" s="243" t="s">
        <v>664</v>
      </c>
      <c r="C74" s="243" t="s">
        <v>663</v>
      </c>
      <c r="D74" s="240">
        <v>16.86</v>
      </c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s="20" customFormat="1" x14ac:dyDescent="0.25">
      <c r="A75" s="129"/>
      <c r="B75" s="5" t="s">
        <v>667</v>
      </c>
      <c r="C75" s="244" t="s">
        <v>667</v>
      </c>
      <c r="D75" s="240">
        <v>18</v>
      </c>
      <c r="E75" s="22"/>
      <c r="F75" s="23"/>
      <c r="G75" s="23"/>
      <c r="H75" s="22">
        <f>+[34]Main!$O$3</f>
        <v>237.44796100000002</v>
      </c>
      <c r="I75" s="245" t="s">
        <v>653</v>
      </c>
      <c r="J75" s="37">
        <v>45660</v>
      </c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s="20" customFormat="1" x14ac:dyDescent="0.25">
      <c r="A76" s="128"/>
      <c r="B76" s="128"/>
      <c r="C76" s="128"/>
      <c r="D76" s="21"/>
      <c r="E76" s="22"/>
      <c r="F76" s="23"/>
      <c r="G76" s="23"/>
      <c r="H76" s="23"/>
      <c r="I76" s="23"/>
      <c r="J76" s="23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3" x14ac:dyDescent="0.3">
      <c r="B77" s="69" t="s">
        <v>247</v>
      </c>
      <c r="I77" s="104" t="s">
        <v>213</v>
      </c>
    </row>
    <row r="78" spans="1:23" x14ac:dyDescent="0.25">
      <c r="B78" s="104" t="s">
        <v>393</v>
      </c>
      <c r="E78" s="54">
        <v>30000</v>
      </c>
      <c r="I78" s="121" t="s">
        <v>450</v>
      </c>
    </row>
    <row r="79" spans="1:23" x14ac:dyDescent="0.25">
      <c r="B79" s="104" t="s">
        <v>394</v>
      </c>
      <c r="E79" s="54">
        <v>10000</v>
      </c>
      <c r="F79" s="104" t="s">
        <v>396</v>
      </c>
      <c r="G79" s="104" t="s">
        <v>395</v>
      </c>
      <c r="H79" s="104" t="s">
        <v>397</v>
      </c>
      <c r="I79" s="54">
        <v>2013</v>
      </c>
    </row>
    <row r="80" spans="1:23" x14ac:dyDescent="0.25">
      <c r="B80" s="104" t="s">
        <v>120</v>
      </c>
      <c r="E80" s="54">
        <v>10000</v>
      </c>
      <c r="F80" s="104"/>
      <c r="G80" s="104"/>
      <c r="H80" s="104"/>
    </row>
    <row r="81" spans="2:5" x14ac:dyDescent="0.25">
      <c r="B81" s="118" t="s">
        <v>98</v>
      </c>
      <c r="E81" s="54">
        <v>12000</v>
      </c>
    </row>
    <row r="82" spans="2:5" x14ac:dyDescent="0.25">
      <c r="B82" s="68" t="s">
        <v>274</v>
      </c>
      <c r="E82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7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8" r:id="rId8" xr:uid="{1147CFA9-6647-443A-9626-FE00F78AE9FF}"/>
    <hyperlink ref="B13" r:id="rId9" xr:uid="{EE794379-CBE0-4BE4-963F-4A3EB8F86626}"/>
    <hyperlink ref="B14" r:id="rId10" xr:uid="{6424F2CF-2B61-4808-95C3-62B06E9F6361}"/>
    <hyperlink ref="B3" r:id="rId11" xr:uid="{D0A6A308-9256-4523-8FDF-BCE2AFB11B6E}"/>
    <hyperlink ref="B6" r:id="rId12" xr:uid="{5A1A0BF1-1F9D-453A-8615-32812BE41A68}"/>
    <hyperlink ref="B8" r:id="rId13" xr:uid="{8D7A6B6F-FFD2-4631-8D7D-1F8872005ED8}"/>
    <hyperlink ref="B19" r:id="rId14" xr:uid="{7E0DDDDE-643F-4D04-A9C8-5DCDC34BD7D2}"/>
    <hyperlink ref="B16" r:id="rId15" xr:uid="{C5C4C2F7-8284-467F-B226-D3648D0474B9}"/>
    <hyperlink ref="B44" r:id="rId16" xr:uid="{1913E089-D60B-4075-AB2C-B7B51D7DF108}"/>
    <hyperlink ref="B47" r:id="rId17" xr:uid="{16D30B47-CCE4-4C35-8F34-A4749495953D}"/>
    <hyperlink ref="B43" r:id="rId18" xr:uid="{6BBC6A3D-8C3C-4E31-9B81-B5DA45B7EED5}"/>
    <hyperlink ref="B45" r:id="rId19" xr:uid="{3E26AFD5-6B18-496F-AFD2-64E8C33867DE}"/>
    <hyperlink ref="B66" r:id="rId20" xr:uid="{CA9AC6C7-5B31-49C6-B7CB-6AE0C43C17AC}"/>
    <hyperlink ref="B21" r:id="rId21" xr:uid="{9BF011A7-6EB1-4794-9AB5-FABB84B25463}"/>
    <hyperlink ref="B15" r:id="rId22" xr:uid="{44789C06-1AED-43B3-9AE3-EAEA984BD6A5}"/>
    <hyperlink ref="B67" r:id="rId23" xr:uid="{CF0837A7-184F-4C38-ACA2-5C943BFE6B34}"/>
    <hyperlink ref="B75" r:id="rId24" xr:uid="{998EA7B8-0FE8-409C-A7BB-79630EE8D2E9}"/>
    <hyperlink ref="B46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1" sqref="G11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5" t="s">
        <v>415</v>
      </c>
      <c r="Z2" s="115" t="s">
        <v>416</v>
      </c>
    </row>
    <row r="3" spans="1:26" s="20" customFormat="1" x14ac:dyDescent="0.25">
      <c r="A3" s="266" t="s">
        <v>252</v>
      </c>
      <c r="B3" s="5" t="s">
        <v>13</v>
      </c>
      <c r="C3" s="20" t="s">
        <v>194</v>
      </c>
      <c r="D3" s="21">
        <v>570</v>
      </c>
      <c r="E3" s="22">
        <f>+D3*[35]Main!$M$3</f>
        <v>1511382.7441800002</v>
      </c>
      <c r="F3" s="22">
        <f>+[35]Main!$M$5-[35]Main!$M$6</f>
        <v>38382</v>
      </c>
      <c r="G3" s="22">
        <f t="shared" ref="G3:G4" si="0">+E3-F3</f>
        <v>1473000.7441800002</v>
      </c>
      <c r="H3" s="22">
        <f>+[35]Main!$M$3</f>
        <v>2651.5486740000001</v>
      </c>
      <c r="I3" s="246" t="s">
        <v>653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6">
        <f>G3/Y3</f>
        <v>386.61436855118114</v>
      </c>
    </row>
    <row r="4" spans="1:26" s="20" customFormat="1" x14ac:dyDescent="0.25">
      <c r="A4" s="266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266" t="s">
        <v>252</v>
      </c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266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266" t="s">
        <v>252</v>
      </c>
      <c r="B7" s="90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1"/>
      <c r="B8" s="90" t="s">
        <v>373</v>
      </c>
      <c r="C8" s="91" t="s">
        <v>374</v>
      </c>
      <c r="D8" s="21">
        <v>11.28</v>
      </c>
      <c r="E8" s="22">
        <f>+D8*H8</f>
        <v>18758.64</v>
      </c>
      <c r="F8" s="94">
        <f>+[37]Main!$L$5-[37]Main!$L$6</f>
        <v>-449.19900000000007</v>
      </c>
      <c r="G8" s="22">
        <f>E8-F8</f>
        <v>19207.839</v>
      </c>
      <c r="H8" s="22">
        <f>+[37]Main!$L$3</f>
        <v>1663</v>
      </c>
      <c r="I8" s="237" t="s">
        <v>653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6">
        <f>G8/Y8</f>
        <v>51.220903999999997</v>
      </c>
    </row>
    <row r="9" spans="1:26" s="20" customFormat="1" x14ac:dyDescent="0.25">
      <c r="A9" s="266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A11" s="266" t="s">
        <v>252</v>
      </c>
      <c r="B11" s="5" t="s">
        <v>76</v>
      </c>
      <c r="C11" s="186" t="s">
        <v>77</v>
      </c>
      <c r="D11" s="21">
        <v>84.83</v>
      </c>
      <c r="E11" s="22">
        <f>+D11*H11</f>
        <v>51333.637678600004</v>
      </c>
      <c r="F11" s="22">
        <f>+[38]Main!$L$5-[38]Main!$L$6</f>
        <v>2595.5510000000004</v>
      </c>
      <c r="G11" s="22">
        <f>+E11-F11</f>
        <v>48738.086678600004</v>
      </c>
      <c r="H11" s="22">
        <f>+[38]Main!$L$3</f>
        <v>605.13542000000007</v>
      </c>
      <c r="I11" s="338" t="s">
        <v>612</v>
      </c>
      <c r="J11" s="37">
        <v>45804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A13" s="266" t="s">
        <v>252</v>
      </c>
      <c r="B13" s="5" t="s">
        <v>320</v>
      </c>
      <c r="C13" s="186" t="s">
        <v>638</v>
      </c>
      <c r="D13" s="187">
        <v>100</v>
      </c>
      <c r="E13" s="108">
        <f>+D13*H13</f>
        <v>16587.6054</v>
      </c>
      <c r="F13" s="108">
        <f>+[39]Main!$J$5-[39]Main!$J$6</f>
        <v>591.05100000000004</v>
      </c>
      <c r="G13" s="108">
        <f>+E13-F13</f>
        <v>15996.554400000001</v>
      </c>
      <c r="H13" s="108">
        <f>+[39]Main!$J$3</f>
        <v>165.87605400000001</v>
      </c>
      <c r="I13" s="201" t="s">
        <v>612</v>
      </c>
      <c r="J13" s="37">
        <v>45601</v>
      </c>
    </row>
    <row r="14" spans="1:26" s="20" customFormat="1" x14ac:dyDescent="0.25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4" t="s">
        <v>322</v>
      </c>
      <c r="C15" s="186" t="s">
        <v>640</v>
      </c>
      <c r="D15" s="49">
        <v>23.43</v>
      </c>
      <c r="E15" s="108">
        <v>4600</v>
      </c>
    </row>
    <row r="16" spans="1:26" s="20" customFormat="1" x14ac:dyDescent="0.25">
      <c r="B16" s="5" t="s">
        <v>356</v>
      </c>
      <c r="C16" s="139" t="s">
        <v>617</v>
      </c>
      <c r="D16" s="21">
        <v>12.27</v>
      </c>
      <c r="E16" s="22">
        <f>+D16*H16</f>
        <v>2159.42446578</v>
      </c>
      <c r="F16" s="141">
        <f>+[40]Main!$K$5-[40]Main!$K$6</f>
        <v>-240.45199999999997</v>
      </c>
      <c r="G16" s="22">
        <f>+E16-F16</f>
        <v>2399.8764657799998</v>
      </c>
      <c r="H16" s="22">
        <f>+[40]Main!$K$3</f>
        <v>175.99221399999999</v>
      </c>
      <c r="I16" s="140" t="s">
        <v>612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637</v>
      </c>
      <c r="C17" s="186" t="s">
        <v>639</v>
      </c>
      <c r="D17" s="187">
        <v>2.8</v>
      </c>
      <c r="E17" s="189">
        <f>+D17*H17</f>
        <v>269.08319199999994</v>
      </c>
      <c r="F17" s="108">
        <f>+[41]Main!$K$5-[41]Main!$K$6</f>
        <v>-41.52800000000002</v>
      </c>
      <c r="G17" s="22">
        <f>+E17-F17</f>
        <v>310.61119199999996</v>
      </c>
      <c r="H17" s="108">
        <f>+[41]Main!$K$3</f>
        <v>96.101139999999987</v>
      </c>
      <c r="I17" s="190" t="s">
        <v>612</v>
      </c>
      <c r="J17" s="188">
        <v>45575</v>
      </c>
    </row>
    <row r="18" spans="2:23" x14ac:dyDescent="0.25">
      <c r="B18" s="5" t="s">
        <v>665</v>
      </c>
      <c r="C18" s="243" t="s">
        <v>666</v>
      </c>
      <c r="D18" s="187">
        <v>4.05</v>
      </c>
      <c r="E18" s="189"/>
      <c r="F18" s="108"/>
      <c r="G18" s="22"/>
      <c r="H18" s="108"/>
      <c r="I18" s="190"/>
      <c r="J18" s="188"/>
    </row>
    <row r="19" spans="2:23" s="20" customFormat="1" x14ac:dyDescent="0.25">
      <c r="B19" s="133" t="s">
        <v>615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33" t="s">
        <v>616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247</v>
      </c>
      <c r="F22" s="120" t="s">
        <v>213</v>
      </c>
    </row>
    <row r="23" spans="2:23" x14ac:dyDescent="0.25">
      <c r="B23" s="70" t="s">
        <v>276</v>
      </c>
      <c r="E23" s="108">
        <v>400000</v>
      </c>
    </row>
    <row r="24" spans="2:23" x14ac:dyDescent="0.25">
      <c r="B24" s="49" t="s">
        <v>246</v>
      </c>
      <c r="E24" s="108">
        <v>30000</v>
      </c>
    </row>
    <row r="25" spans="2:23" x14ac:dyDescent="0.25">
      <c r="B25" s="143" t="s">
        <v>622</v>
      </c>
      <c r="C25" s="143" t="s">
        <v>621</v>
      </c>
      <c r="D25" s="21">
        <v>44.5</v>
      </c>
      <c r="E25" s="22">
        <v>34050</v>
      </c>
    </row>
    <row r="26" spans="2:23" x14ac:dyDescent="0.25">
      <c r="B26" s="84" t="s">
        <v>316</v>
      </c>
      <c r="E26" s="108">
        <v>14500</v>
      </c>
      <c r="F26" s="49">
        <v>2015</v>
      </c>
      <c r="H26" s="119" t="s">
        <v>445</v>
      </c>
    </row>
    <row r="27" spans="2:23" x14ac:dyDescent="0.25">
      <c r="B27" s="119" t="s">
        <v>443</v>
      </c>
      <c r="E27" s="108"/>
      <c r="F27" s="49">
        <v>2021</v>
      </c>
      <c r="H27" s="143" t="s">
        <v>623</v>
      </c>
    </row>
    <row r="28" spans="2:23" x14ac:dyDescent="0.25">
      <c r="B28" s="119" t="s">
        <v>444</v>
      </c>
      <c r="E28" s="49">
        <v>1000</v>
      </c>
      <c r="H28" s="119" t="s">
        <v>446</v>
      </c>
    </row>
    <row r="29" spans="2:23" x14ac:dyDescent="0.25">
      <c r="B29" s="49" t="s">
        <v>245</v>
      </c>
      <c r="E29" s="49">
        <v>200</v>
      </c>
    </row>
    <row r="30" spans="2:23" x14ac:dyDescent="0.25">
      <c r="B30" s="84" t="s">
        <v>319</v>
      </c>
    </row>
    <row r="31" spans="2:23" x14ac:dyDescent="0.25">
      <c r="B31" s="84" t="s">
        <v>321</v>
      </c>
    </row>
    <row r="32" spans="2:23" x14ac:dyDescent="0.25">
      <c r="B32" s="84" t="s">
        <v>323</v>
      </c>
    </row>
    <row r="33" spans="2:2" x14ac:dyDescent="0.25">
      <c r="B33" s="84" t="s">
        <v>324</v>
      </c>
    </row>
    <row r="34" spans="2:2" x14ac:dyDescent="0.25">
      <c r="B34" s="84" t="s">
        <v>325</v>
      </c>
    </row>
    <row r="35" spans="2:2" x14ac:dyDescent="0.25">
      <c r="B35" s="88" t="s">
        <v>348</v>
      </c>
    </row>
    <row r="36" spans="2:2" x14ac:dyDescent="0.25">
      <c r="B36" s="49" t="s">
        <v>244</v>
      </c>
    </row>
    <row r="37" spans="2:2" x14ac:dyDescent="0.25">
      <c r="B37" s="88" t="s">
        <v>349</v>
      </c>
    </row>
    <row r="38" spans="2:2" x14ac:dyDescent="0.25">
      <c r="B38" s="109" t="s">
        <v>402</v>
      </c>
    </row>
    <row r="39" spans="2:2" x14ac:dyDescent="0.25">
      <c r="B39" s="88" t="s">
        <v>350</v>
      </c>
    </row>
    <row r="40" spans="2:2" x14ac:dyDescent="0.25">
      <c r="B40" s="88" t="s">
        <v>351</v>
      </c>
    </row>
    <row r="41" spans="2:2" x14ac:dyDescent="0.25">
      <c r="B41" s="88" t="s">
        <v>294</v>
      </c>
    </row>
    <row r="42" spans="2:2" x14ac:dyDescent="0.25">
      <c r="B42" s="88" t="s">
        <v>352</v>
      </c>
    </row>
    <row r="43" spans="2:2" x14ac:dyDescent="0.25">
      <c r="B43" s="88" t="s">
        <v>353</v>
      </c>
    </row>
    <row r="44" spans="2:2" x14ac:dyDescent="0.25">
      <c r="B44" s="88" t="s">
        <v>354</v>
      </c>
    </row>
    <row r="45" spans="2:2" x14ac:dyDescent="0.25">
      <c r="B45" s="88" t="s">
        <v>355</v>
      </c>
    </row>
    <row r="46" spans="2:2" x14ac:dyDescent="0.25">
      <c r="B46" s="88" t="s">
        <v>357</v>
      </c>
    </row>
    <row r="47" spans="2:2" x14ac:dyDescent="0.25">
      <c r="B47" s="88" t="s">
        <v>358</v>
      </c>
    </row>
    <row r="48" spans="2:2" x14ac:dyDescent="0.25">
      <c r="B48" s="88" t="s">
        <v>359</v>
      </c>
    </row>
    <row r="49" spans="2:2" x14ac:dyDescent="0.25">
      <c r="B49" s="88" t="s">
        <v>360</v>
      </c>
    </row>
    <row r="50" spans="2:2" x14ac:dyDescent="0.25">
      <c r="B50" s="88" t="s">
        <v>361</v>
      </c>
    </row>
    <row r="51" spans="2:2" x14ac:dyDescent="0.25">
      <c r="B51" s="88" t="s">
        <v>362</v>
      </c>
    </row>
    <row r="52" spans="2:2" x14ac:dyDescent="0.25">
      <c r="B52" s="88" t="s">
        <v>363</v>
      </c>
    </row>
    <row r="53" spans="2:2" x14ac:dyDescent="0.25">
      <c r="B53" s="88" t="s">
        <v>364</v>
      </c>
    </row>
    <row r="54" spans="2:2" x14ac:dyDescent="0.25">
      <c r="B54" s="88" t="s">
        <v>365</v>
      </c>
    </row>
    <row r="55" spans="2:2" x14ac:dyDescent="0.25">
      <c r="B55" s="88" t="s">
        <v>366</v>
      </c>
    </row>
    <row r="56" spans="2:2" x14ac:dyDescent="0.25">
      <c r="B56" s="88" t="s">
        <v>367</v>
      </c>
    </row>
    <row r="57" spans="2:2" x14ac:dyDescent="0.25">
      <c r="B57" s="88" t="s">
        <v>368</v>
      </c>
    </row>
    <row r="58" spans="2:2" x14ac:dyDescent="0.25">
      <c r="B58" s="88" t="s">
        <v>369</v>
      </c>
    </row>
    <row r="59" spans="2:2" x14ac:dyDescent="0.25">
      <c r="B59" s="143" t="s">
        <v>620</v>
      </c>
    </row>
    <row r="60" spans="2:2" x14ac:dyDescent="0.25">
      <c r="B60" s="143" t="s">
        <v>624</v>
      </c>
    </row>
    <row r="61" spans="2:2" x14ac:dyDescent="0.25">
      <c r="B61" s="143" t="s">
        <v>625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796875" defaultRowHeight="12.5" x14ac:dyDescent="0.25"/>
  <cols>
    <col min="1" max="1" width="5" style="149" bestFit="1" customWidth="1"/>
    <col min="2" max="2" width="15" style="149" customWidth="1"/>
    <col min="3" max="16384" width="9.1796875" style="149"/>
  </cols>
  <sheetData>
    <row r="1" spans="1:24" x14ac:dyDescent="0.25">
      <c r="A1" s="5" t="s">
        <v>142</v>
      </c>
    </row>
    <row r="2" spans="1:24" x14ac:dyDescent="0.25">
      <c r="A2" s="5"/>
      <c r="B2" s="149" t="s">
        <v>0</v>
      </c>
      <c r="C2" s="149" t="s">
        <v>1</v>
      </c>
      <c r="D2" s="150" t="s">
        <v>2</v>
      </c>
      <c r="E2" s="151" t="s">
        <v>3</v>
      </c>
      <c r="F2" s="150" t="s">
        <v>383</v>
      </c>
      <c r="G2" s="150" t="s">
        <v>5</v>
      </c>
      <c r="H2" s="150" t="s">
        <v>212</v>
      </c>
      <c r="I2" s="150" t="s">
        <v>384</v>
      </c>
      <c r="J2" s="150" t="s">
        <v>223</v>
      </c>
    </row>
    <row r="3" spans="1:24" x14ac:dyDescent="0.25">
      <c r="A3" s="271" t="s">
        <v>252</v>
      </c>
      <c r="B3" s="5" t="s">
        <v>178</v>
      </c>
      <c r="C3" s="149" t="s">
        <v>179</v>
      </c>
      <c r="D3" s="152">
        <v>375.71</v>
      </c>
      <c r="E3" s="151">
        <f>+D3*H3</f>
        <v>57472.452251789997</v>
      </c>
      <c r="F3" s="151">
        <f>+[42]Main!$N$5-[42]Main!$N$6</f>
        <v>1696.7459999999999</v>
      </c>
      <c r="G3" s="151">
        <f t="shared" ref="G3:G8" si="0">E3-F3</f>
        <v>55775.706251789998</v>
      </c>
      <c r="H3" s="151">
        <f>+[42]Main!$N$3</f>
        <v>152.970249</v>
      </c>
      <c r="I3" s="150" t="s">
        <v>14</v>
      </c>
      <c r="J3" s="153">
        <v>44783</v>
      </c>
      <c r="K3" s="154"/>
      <c r="L3" s="154"/>
      <c r="M3" s="154"/>
      <c r="N3" s="154"/>
      <c r="O3" s="154"/>
      <c r="P3" s="155"/>
      <c r="Q3" s="154"/>
      <c r="R3" s="154"/>
      <c r="S3" s="156"/>
      <c r="T3" s="155"/>
      <c r="U3" s="154"/>
      <c r="V3" s="154"/>
      <c r="W3" s="156"/>
    </row>
    <row r="4" spans="1:24" x14ac:dyDescent="0.25">
      <c r="A4" s="271" t="s">
        <v>252</v>
      </c>
      <c r="B4" s="5" t="s">
        <v>176</v>
      </c>
      <c r="C4" s="149" t="s">
        <v>177</v>
      </c>
      <c r="D4" s="152">
        <v>39.74</v>
      </c>
      <c r="E4" s="151">
        <f>+D4*[43]Main!$L$3*EUR</f>
        <v>53089.738980000009</v>
      </c>
      <c r="F4" s="151">
        <f>+([43]Main!$L$5-[43]Main!$L$6)*EUR</f>
        <v>-490.25400000000008</v>
      </c>
      <c r="G4" s="151">
        <f t="shared" si="0"/>
        <v>53579.99298000001</v>
      </c>
      <c r="H4" s="151"/>
      <c r="I4" s="150" t="s">
        <v>199</v>
      </c>
      <c r="J4" s="150"/>
      <c r="K4" s="154"/>
      <c r="L4" s="154"/>
      <c r="M4" s="154"/>
      <c r="N4" s="154"/>
      <c r="O4" s="154"/>
      <c r="P4" s="155"/>
      <c r="Q4" s="154"/>
      <c r="R4" s="154"/>
      <c r="S4" s="156"/>
      <c r="T4" s="155"/>
      <c r="U4" s="154"/>
      <c r="V4" s="154"/>
      <c r="W4" s="156"/>
    </row>
    <row r="5" spans="1:24" x14ac:dyDescent="0.25">
      <c r="A5" s="271" t="s">
        <v>252</v>
      </c>
      <c r="B5" s="5" t="s">
        <v>48</v>
      </c>
      <c r="C5" s="149" t="s">
        <v>49</v>
      </c>
      <c r="D5" s="152">
        <v>253.59</v>
      </c>
      <c r="E5" s="151">
        <f>+D5*H5</f>
        <v>69438.013800000001</v>
      </c>
      <c r="F5" s="151">
        <f>+[44]Main!$K$5-[44]Main!$K$6</f>
        <v>-289.71199999999999</v>
      </c>
      <c r="G5" s="151">
        <f t="shared" si="0"/>
        <v>69727.7258</v>
      </c>
      <c r="H5" s="151">
        <f>+[44]Main!$K$3</f>
        <v>273.82</v>
      </c>
      <c r="I5" s="150" t="s">
        <v>220</v>
      </c>
      <c r="J5" s="150"/>
      <c r="K5" s="154"/>
      <c r="L5" s="154"/>
      <c r="M5" s="154"/>
      <c r="N5" s="154"/>
      <c r="O5" s="154"/>
      <c r="P5" s="155"/>
      <c r="Q5" s="154"/>
      <c r="R5" s="154"/>
      <c r="S5" s="156"/>
      <c r="T5" s="155"/>
      <c r="U5" s="154"/>
      <c r="V5" s="154"/>
      <c r="W5" s="156"/>
    </row>
    <row r="6" spans="1:24" x14ac:dyDescent="0.25">
      <c r="A6" s="271" t="s">
        <v>252</v>
      </c>
      <c r="B6" s="5" t="s">
        <v>46</v>
      </c>
      <c r="C6" s="149" t="s">
        <v>47</v>
      </c>
      <c r="D6" s="152">
        <v>203.73</v>
      </c>
      <c r="E6" s="151">
        <f>+D6*H6</f>
        <v>44264.86632465</v>
      </c>
      <c r="F6" s="151">
        <f>+[45]Main!$L$5-[45]Main!$L$6</f>
        <v>-1005</v>
      </c>
      <c r="G6" s="151">
        <f t="shared" si="0"/>
        <v>45269.86632465</v>
      </c>
      <c r="H6" s="151">
        <f>+[45]Main!$L$3</f>
        <v>217.27220500000001</v>
      </c>
      <c r="I6" s="150" t="s">
        <v>14</v>
      </c>
      <c r="J6" s="150"/>
      <c r="K6" s="154"/>
      <c r="L6" s="154"/>
      <c r="M6" s="154"/>
      <c r="N6" s="154"/>
      <c r="O6" s="154"/>
      <c r="P6" s="155"/>
      <c r="Q6" s="154"/>
      <c r="R6" s="154"/>
      <c r="S6" s="156"/>
      <c r="T6" s="155"/>
      <c r="U6" s="154"/>
      <c r="V6" s="154"/>
      <c r="W6" s="156"/>
      <c r="X6" s="149">
        <v>1982</v>
      </c>
    </row>
    <row r="7" spans="1:24" x14ac:dyDescent="0.25">
      <c r="A7" s="271" t="s">
        <v>252</v>
      </c>
      <c r="B7" s="5" t="s">
        <v>61</v>
      </c>
      <c r="C7" s="149" t="s">
        <v>62</v>
      </c>
      <c r="D7" s="152">
        <v>236.61</v>
      </c>
      <c r="E7" s="151">
        <f>+D7*H7</f>
        <v>20601.316825649999</v>
      </c>
      <c r="F7" s="151">
        <f>+[46]Main!$M$5-[46]Main!$M$6</f>
        <v>-235.76700000000005</v>
      </c>
      <c r="G7" s="151">
        <f t="shared" si="0"/>
        <v>20837.083825649999</v>
      </c>
      <c r="H7" s="151">
        <f>+[46]Main!$M$3</f>
        <v>87.068664999999996</v>
      </c>
      <c r="I7" s="150" t="s">
        <v>199</v>
      </c>
      <c r="J7" s="153">
        <v>44795</v>
      </c>
      <c r="K7" s="154"/>
      <c r="L7" s="154"/>
      <c r="M7" s="154"/>
      <c r="N7" s="154"/>
      <c r="O7" s="154"/>
      <c r="P7" s="155"/>
      <c r="Q7" s="154"/>
      <c r="R7" s="154"/>
      <c r="S7" s="156"/>
      <c r="T7" s="155"/>
      <c r="U7" s="154"/>
      <c r="V7" s="154"/>
      <c r="W7" s="156"/>
    </row>
    <row r="8" spans="1:24" x14ac:dyDescent="0.25">
      <c r="A8" s="271" t="s">
        <v>252</v>
      </c>
      <c r="B8" s="80" t="s">
        <v>218</v>
      </c>
      <c r="C8" s="149" t="s">
        <v>219</v>
      </c>
      <c r="D8" s="152">
        <v>122.15</v>
      </c>
      <c r="E8" s="151">
        <f>D8*H8/SEK</f>
        <v>31363.739288425048</v>
      </c>
      <c r="F8" s="151">
        <f>([47]Main!$L$5-[47]Main!$L$6)*EUR</f>
        <v>-3389.8630000000003</v>
      </c>
      <c r="G8" s="151">
        <f t="shared" si="0"/>
        <v>34753.602288425049</v>
      </c>
      <c r="H8" s="151">
        <f>[47]Main!$L$3</f>
        <v>2706.2939999999999</v>
      </c>
      <c r="I8" s="150" t="s">
        <v>378</v>
      </c>
      <c r="J8" s="153">
        <v>45056</v>
      </c>
      <c r="K8" s="154"/>
      <c r="L8" s="154"/>
      <c r="M8" s="154"/>
      <c r="N8" s="154"/>
      <c r="O8" s="156"/>
      <c r="P8" s="155"/>
      <c r="Q8" s="154"/>
      <c r="R8" s="154"/>
      <c r="S8" s="156"/>
      <c r="T8" s="155"/>
      <c r="U8" s="154"/>
      <c r="V8" s="154"/>
      <c r="W8" s="156"/>
      <c r="X8" s="149">
        <v>1992</v>
      </c>
    </row>
    <row r="9" spans="1:24" x14ac:dyDescent="0.25">
      <c r="A9" s="149" t="s">
        <v>252</v>
      </c>
      <c r="B9" s="157" t="s">
        <v>92</v>
      </c>
      <c r="C9" s="149" t="s">
        <v>92</v>
      </c>
      <c r="D9" s="152">
        <v>115.52</v>
      </c>
      <c r="E9" s="151">
        <v>13640</v>
      </c>
    </row>
    <row r="10" spans="1:24" x14ac:dyDescent="0.25">
      <c r="B10" s="149" t="s">
        <v>221</v>
      </c>
      <c r="C10" s="149" t="s">
        <v>222</v>
      </c>
      <c r="D10" s="158">
        <v>31.44</v>
      </c>
      <c r="E10" s="151">
        <v>2220</v>
      </c>
      <c r="F10" s="150"/>
      <c r="G10" s="150"/>
      <c r="H10" s="150"/>
      <c r="I10" s="150"/>
      <c r="J10" s="150"/>
      <c r="K10" s="154"/>
      <c r="L10" s="154"/>
      <c r="M10" s="154"/>
      <c r="N10" s="154"/>
      <c r="O10" s="154"/>
      <c r="P10" s="155"/>
      <c r="Q10" s="154"/>
      <c r="R10" s="154"/>
      <c r="S10" s="156"/>
      <c r="T10" s="155"/>
      <c r="U10" s="154"/>
      <c r="V10" s="154"/>
      <c r="W10" s="156"/>
    </row>
    <row r="11" spans="1:24" x14ac:dyDescent="0.25">
      <c r="B11" s="149" t="s">
        <v>314</v>
      </c>
      <c r="C11" s="149" t="s">
        <v>370</v>
      </c>
      <c r="D11" s="150"/>
      <c r="E11" s="150"/>
      <c r="F11" s="150"/>
      <c r="G11" s="150"/>
      <c r="H11" s="150"/>
      <c r="I11" s="150"/>
      <c r="J11" s="150"/>
    </row>
    <row r="12" spans="1:24" x14ac:dyDescent="0.25">
      <c r="B12" s="149" t="s">
        <v>315</v>
      </c>
      <c r="D12" s="150"/>
      <c r="E12" s="150"/>
      <c r="F12" s="150"/>
      <c r="G12" s="150"/>
      <c r="H12" s="150"/>
      <c r="I12" s="150"/>
      <c r="J12" s="150"/>
    </row>
    <row r="13" spans="1:24" x14ac:dyDescent="0.25">
      <c r="A13" s="271" t="s">
        <v>252</v>
      </c>
      <c r="B13" s="149" t="s">
        <v>486</v>
      </c>
      <c r="C13" s="149" t="s">
        <v>107</v>
      </c>
    </row>
    <row r="14" spans="1:24" x14ac:dyDescent="0.25">
      <c r="A14" s="149" t="s">
        <v>252</v>
      </c>
      <c r="B14" s="157" t="s">
        <v>90</v>
      </c>
      <c r="C14" s="149" t="s">
        <v>91</v>
      </c>
      <c r="D14" s="152">
        <v>206.61</v>
      </c>
      <c r="E14" s="151">
        <v>13880</v>
      </c>
    </row>
    <row r="15" spans="1:24" x14ac:dyDescent="0.25">
      <c r="A15" s="149" t="s">
        <v>252</v>
      </c>
      <c r="B15" s="149" t="s">
        <v>438</v>
      </c>
      <c r="C15" s="149" t="s">
        <v>437</v>
      </c>
    </row>
    <row r="16" spans="1:24" x14ac:dyDescent="0.25">
      <c r="A16" s="149" t="s">
        <v>252</v>
      </c>
      <c r="B16" s="149" t="s">
        <v>514</v>
      </c>
      <c r="C16" s="149" t="s">
        <v>515</v>
      </c>
    </row>
    <row r="17" spans="1:5" x14ac:dyDescent="0.25">
      <c r="A17" s="149" t="s">
        <v>252</v>
      </c>
      <c r="B17" s="149" t="s">
        <v>532</v>
      </c>
      <c r="C17" s="149" t="s">
        <v>533</v>
      </c>
    </row>
    <row r="18" spans="1:5" x14ac:dyDescent="0.25">
      <c r="A18" s="149" t="s">
        <v>252</v>
      </c>
      <c r="B18" s="149" t="s">
        <v>548</v>
      </c>
      <c r="C18" s="149" t="s">
        <v>549</v>
      </c>
    </row>
    <row r="19" spans="1:5" x14ac:dyDescent="0.25">
      <c r="A19" s="149" t="s">
        <v>252</v>
      </c>
      <c r="B19" s="149" t="s">
        <v>552</v>
      </c>
      <c r="C19" s="149" t="s">
        <v>553</v>
      </c>
    </row>
    <row r="20" spans="1:5" x14ac:dyDescent="0.25">
      <c r="A20" s="149" t="s">
        <v>252</v>
      </c>
      <c r="B20" s="149" t="s">
        <v>556</v>
      </c>
      <c r="C20" s="149" t="s">
        <v>557</v>
      </c>
    </row>
    <row r="22" spans="1:5" ht="13" x14ac:dyDescent="0.3">
      <c r="B22" s="69" t="s">
        <v>247</v>
      </c>
    </row>
    <row r="23" spans="1:5" x14ac:dyDescent="0.25">
      <c r="B23" s="149" t="s">
        <v>401</v>
      </c>
      <c r="E23" s="149">
        <v>2400</v>
      </c>
    </row>
    <row r="24" spans="1:5" x14ac:dyDescent="0.25">
      <c r="B24" s="149" t="s">
        <v>380</v>
      </c>
      <c r="E24" s="149">
        <v>1500</v>
      </c>
    </row>
    <row r="25" spans="1:5" x14ac:dyDescent="0.25">
      <c r="B25" s="149" t="s">
        <v>382</v>
      </c>
      <c r="E25" s="149">
        <v>1000</v>
      </c>
    </row>
    <row r="26" spans="1:5" x14ac:dyDescent="0.25">
      <c r="B26" s="149" t="s">
        <v>400</v>
      </c>
      <c r="E26" s="149">
        <v>1000</v>
      </c>
    </row>
    <row r="27" spans="1:5" x14ac:dyDescent="0.25">
      <c r="B27" s="149" t="s">
        <v>371</v>
      </c>
    </row>
    <row r="28" spans="1:5" x14ac:dyDescent="0.25">
      <c r="B28" s="149" t="s">
        <v>381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5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6" sqref="C18:E26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5" t="s">
        <v>417</v>
      </c>
    </row>
    <row r="3" spans="1:27" x14ac:dyDescent="0.25">
      <c r="A3" s="268" t="s">
        <v>252</v>
      </c>
      <c r="B3" s="5" t="s">
        <v>7</v>
      </c>
      <c r="C3" s="20" t="s">
        <v>8</v>
      </c>
      <c r="D3" s="21">
        <v>426.78</v>
      </c>
      <c r="E3" s="22">
        <f>D3*[2]Main!$L$3</f>
        <v>3172674.9382532998</v>
      </c>
      <c r="F3" s="22">
        <f>[2]Main!$L$5-[2]Main!$L$6</f>
        <v>49089</v>
      </c>
      <c r="G3" s="22">
        <f>+E3-F3</f>
        <v>3123585.9382532998</v>
      </c>
      <c r="H3" s="22">
        <f>+[2]Main!$L$3</f>
        <v>7433.9822350000004</v>
      </c>
      <c r="I3" s="23" t="s">
        <v>14</v>
      </c>
      <c r="J3" s="52">
        <v>45152</v>
      </c>
      <c r="M3" s="135">
        <f>+[2]Model!$BT$50</f>
        <v>8.8186942013873226E-2</v>
      </c>
      <c r="AA3" s="123" t="s">
        <v>463</v>
      </c>
    </row>
    <row r="4" spans="1:27" x14ac:dyDescent="0.25">
      <c r="A4" s="266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6"/>
    </row>
    <row r="5" spans="1:27" s="20" customFormat="1" x14ac:dyDescent="0.25">
      <c r="A5" s="268" t="s">
        <v>252</v>
      </c>
      <c r="B5" s="5" t="s">
        <v>19</v>
      </c>
      <c r="C5" s="20" t="s">
        <v>20</v>
      </c>
      <c r="D5" s="21">
        <v>532</v>
      </c>
      <c r="E5" s="22">
        <f>+D5*[48]Main!$N$4</f>
        <v>238336</v>
      </c>
      <c r="F5" s="22">
        <f>+[48]Main!$N$6-[48]Main!$N$7</f>
        <v>1888</v>
      </c>
      <c r="G5" s="22">
        <f t="shared" ref="G5:G11" si="0">+E5-F5</f>
        <v>236448</v>
      </c>
      <c r="H5" s="22">
        <f>+[48]Main!$N$4</f>
        <v>448</v>
      </c>
      <c r="I5" s="138" t="s">
        <v>612</v>
      </c>
      <c r="J5" s="37">
        <v>45548</v>
      </c>
      <c r="K5" s="24"/>
      <c r="L5" s="24"/>
      <c r="M5" s="137">
        <f>+[48]Model!$AP$36</f>
        <v>0.08</v>
      </c>
      <c r="N5" s="28">
        <f>+[48]Model!$AP$34</f>
        <v>0.01</v>
      </c>
      <c r="O5" s="28">
        <f>+[48]Model!$AP$35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4"/>
      <c r="B6" s="5" t="s">
        <v>258</v>
      </c>
      <c r="C6" s="64" t="s">
        <v>259</v>
      </c>
      <c r="D6" s="99">
        <v>12025</v>
      </c>
      <c r="E6" s="22">
        <f>D6*H6/JPY</f>
        <v>108755.68776016941</v>
      </c>
      <c r="F6" s="22">
        <f>([49]Main!$O$7-[49]Main!$O$8)/JPY</f>
        <v>3147.411085956328</v>
      </c>
      <c r="G6" s="22">
        <f t="shared" si="0"/>
        <v>105608.27667421309</v>
      </c>
      <c r="H6" s="22">
        <f>[49]Main!$O$4</f>
        <v>1238.413</v>
      </c>
      <c r="I6" s="100" t="s">
        <v>378</v>
      </c>
      <c r="J6" s="37">
        <v>44994</v>
      </c>
      <c r="K6" s="24"/>
      <c r="L6" s="24"/>
      <c r="M6" s="137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98"/>
      <c r="B7" s="5" t="s">
        <v>258</v>
      </c>
      <c r="C7" s="98" t="s">
        <v>379</v>
      </c>
      <c r="D7" s="21">
        <v>87.8</v>
      </c>
      <c r="E7" s="22">
        <f>D7*H7</f>
        <v>108732.6614</v>
      </c>
      <c r="F7" s="22">
        <f>([49]Main!$O$7-[49]Main!$O$8)/JPY</f>
        <v>3147.411085956328</v>
      </c>
      <c r="G7" s="22">
        <f t="shared" si="0"/>
        <v>105585.25031404367</v>
      </c>
      <c r="H7" s="22">
        <f>[49]Main!$O$4</f>
        <v>1238.413</v>
      </c>
      <c r="I7" s="100" t="s">
        <v>378</v>
      </c>
      <c r="J7" s="37">
        <v>44994</v>
      </c>
      <c r="K7" s="24"/>
      <c r="L7" s="24"/>
      <c r="M7" s="137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268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268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  <c r="G9" s="22">
        <f t="shared" si="0"/>
        <v>50938.435697071494</v>
      </c>
    </row>
    <row r="10" spans="1:27" x14ac:dyDescent="0.25">
      <c r="A10" s="268" t="s">
        <v>252</v>
      </c>
      <c r="B10" s="67" t="s">
        <v>265</v>
      </c>
      <c r="C10" s="67" t="s">
        <v>266</v>
      </c>
      <c r="D10" s="181">
        <v>81.010000000000005</v>
      </c>
      <c r="E10" s="44">
        <v>52220</v>
      </c>
      <c r="G10" s="22">
        <f t="shared" si="0"/>
        <v>52220</v>
      </c>
    </row>
    <row r="11" spans="1:27" x14ac:dyDescent="0.25">
      <c r="A11" s="268" t="s">
        <v>252</v>
      </c>
      <c r="B11" s="72" t="s">
        <v>283</v>
      </c>
      <c r="C11" s="72" t="s">
        <v>284</v>
      </c>
      <c r="D11" s="181">
        <v>98.73</v>
      </c>
      <c r="E11" s="44">
        <v>56400</v>
      </c>
      <c r="G11" s="22">
        <f t="shared" si="0"/>
        <v>56400</v>
      </c>
    </row>
    <row r="12" spans="1:27" x14ac:dyDescent="0.25">
      <c r="A12" s="268" t="s">
        <v>252</v>
      </c>
      <c r="B12" s="5" t="s">
        <v>164</v>
      </c>
      <c r="C12" s="10" t="s">
        <v>165</v>
      </c>
      <c r="D12" s="181">
        <v>142</v>
      </c>
      <c r="E12" s="44">
        <f>+D12*H12</f>
        <v>37516.390202000002</v>
      </c>
      <c r="F12" s="44">
        <f>+[50]Main!$N$5-[50]Main!$N$6</f>
        <v>884</v>
      </c>
      <c r="G12" s="44">
        <f>+E12-F12</f>
        <v>36632.390202000002</v>
      </c>
      <c r="H12" s="44">
        <f>+[50]Main!$N$3</f>
        <v>264.19993099999999</v>
      </c>
      <c r="I12" s="182" t="s">
        <v>612</v>
      </c>
      <c r="J12" s="52">
        <v>45568</v>
      </c>
      <c r="X12" s="10">
        <v>1982</v>
      </c>
    </row>
    <row r="13" spans="1:27" s="1" customFormat="1" x14ac:dyDescent="0.25">
      <c r="A13" s="268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[38]Main!$L$5-[38]Main!$L$6</f>
        <v>2595.5510000000004</v>
      </c>
      <c r="G13" s="3">
        <f>+E13-F13</f>
        <v>34317.709620000001</v>
      </c>
      <c r="H13" s="3">
        <f>[38]Main!$L$3</f>
        <v>605.13542000000007</v>
      </c>
      <c r="I13" s="4" t="s">
        <v>612</v>
      </c>
      <c r="J13" s="97">
        <v>45573</v>
      </c>
      <c r="X13" s="1">
        <v>2004</v>
      </c>
      <c r="Y13" s="1">
        <v>56</v>
      </c>
      <c r="Z13" s="117">
        <f>G13/Y13</f>
        <v>612.81624321428569</v>
      </c>
    </row>
    <row r="14" spans="1:27" x14ac:dyDescent="0.25">
      <c r="A14" s="66"/>
      <c r="B14" s="5" t="s">
        <v>649</v>
      </c>
      <c r="C14" s="198" t="s">
        <v>650</v>
      </c>
      <c r="D14" s="181">
        <v>946.4</v>
      </c>
      <c r="E14" s="44">
        <f>+D14*H14/SEK</f>
        <v>18462.023887362429</v>
      </c>
      <c r="F14" s="44">
        <f>([51]Main!$K$5-[51]Main!$K$6)/SEK</f>
        <v>1011.5074003795067</v>
      </c>
      <c r="G14" s="22">
        <f>+E14-F14</f>
        <v>17450.516486982924</v>
      </c>
      <c r="H14" s="44">
        <f>+[51]Main!$K$3</f>
        <v>205.61045200000001</v>
      </c>
      <c r="I14" s="200" t="s">
        <v>612</v>
      </c>
      <c r="J14" s="52">
        <v>45587</v>
      </c>
    </row>
    <row r="15" spans="1:27" s="1" customFormat="1" x14ac:dyDescent="0.25">
      <c r="A15" s="268" t="s">
        <v>252</v>
      </c>
      <c r="B15" s="332" t="s">
        <v>727</v>
      </c>
      <c r="C15" s="1" t="s">
        <v>329</v>
      </c>
      <c r="D15" s="2"/>
      <c r="E15" s="3"/>
      <c r="F15" s="3"/>
      <c r="G15" s="3"/>
      <c r="H15" s="4"/>
      <c r="I15" s="4"/>
    </row>
    <row r="16" spans="1:27" x14ac:dyDescent="0.25">
      <c r="A16" s="268" t="s">
        <v>252</v>
      </c>
      <c r="B16" s="5" t="s">
        <v>166</v>
      </c>
      <c r="C16" s="10" t="s">
        <v>167</v>
      </c>
      <c r="D16" s="181">
        <v>207</v>
      </c>
      <c r="E16" s="44">
        <f>+D16*H16</f>
        <v>36534.611142000002</v>
      </c>
      <c r="F16" s="44">
        <f>+[52]Main!$I$5-[52]Main!$I$6</f>
        <v>-2258.5</v>
      </c>
      <c r="G16" s="22">
        <f>+E16-F16</f>
        <v>38793.111142000002</v>
      </c>
      <c r="H16" s="44">
        <f>+[52]Main!$I$3</f>
        <v>176.49570600000001</v>
      </c>
      <c r="I16" s="303" t="s">
        <v>668</v>
      </c>
      <c r="J16" s="52">
        <v>45735</v>
      </c>
    </row>
    <row r="17" spans="1:26" s="1" customFormat="1" x14ac:dyDescent="0.25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731</v>
      </c>
      <c r="C18" s="1" t="s">
        <v>730</v>
      </c>
      <c r="D18" s="2"/>
      <c r="E18" s="3"/>
      <c r="F18" s="4"/>
      <c r="G18" s="4"/>
      <c r="H18" s="4"/>
    </row>
    <row r="19" spans="1:26" s="1" customFormat="1" x14ac:dyDescent="0.25">
      <c r="B19" s="1" t="s">
        <v>464</v>
      </c>
      <c r="C19" s="1" t="s">
        <v>465</v>
      </c>
      <c r="D19" s="2"/>
      <c r="E19" s="3"/>
      <c r="F19" s="4"/>
      <c r="G19" s="4"/>
      <c r="H19" s="4"/>
    </row>
    <row r="20" spans="1:26" s="1" customFormat="1" x14ac:dyDescent="0.25">
      <c r="B20" s="1" t="s">
        <v>470</v>
      </c>
      <c r="D20" s="2"/>
      <c r="E20" s="3"/>
      <c r="F20" s="4"/>
      <c r="G20" s="4"/>
      <c r="H20" s="4"/>
    </row>
    <row r="21" spans="1:26" s="1" customFormat="1" x14ac:dyDescent="0.25">
      <c r="B21" s="1" t="s">
        <v>472</v>
      </c>
      <c r="C21" s="1" t="s">
        <v>473</v>
      </c>
      <c r="D21" s="2"/>
      <c r="E21" s="3"/>
      <c r="F21" s="4"/>
      <c r="G21" s="4"/>
      <c r="H21" s="4"/>
    </row>
    <row r="22" spans="1:26" s="1" customFormat="1" x14ac:dyDescent="0.25">
      <c r="A22" s="268" t="s">
        <v>252</v>
      </c>
      <c r="B22" s="1" t="s">
        <v>685</v>
      </c>
      <c r="C22" s="1" t="s">
        <v>686</v>
      </c>
      <c r="D22" s="2"/>
      <c r="E22" s="3"/>
      <c r="F22" s="4"/>
      <c r="G22" s="4"/>
      <c r="H22" s="4"/>
    </row>
    <row r="23" spans="1:26" s="1" customFormat="1" x14ac:dyDescent="0.25">
      <c r="B23" s="1" t="s">
        <v>250</v>
      </c>
      <c r="C23" s="1" t="s">
        <v>251</v>
      </c>
      <c r="D23" s="2"/>
      <c r="E23" s="3"/>
      <c r="F23" s="4"/>
      <c r="G23" s="4"/>
      <c r="H23" s="4"/>
    </row>
    <row r="24" spans="1:26" s="20" customFormat="1" x14ac:dyDescent="0.25">
      <c r="A24" s="268" t="s">
        <v>252</v>
      </c>
      <c r="B24" s="80" t="s">
        <v>74</v>
      </c>
      <c r="C24" s="20" t="s">
        <v>75</v>
      </c>
      <c r="D24" s="21">
        <v>102.23</v>
      </c>
      <c r="E24" s="22">
        <f>+D24*[53]Main!$K$3</f>
        <v>20147.20788088</v>
      </c>
      <c r="F24" s="22">
        <f>+[53]Main!$K$5-[53]Main!$K$6</f>
        <v>3155</v>
      </c>
      <c r="G24" s="22">
        <f>E24-F24</f>
        <v>16992.20788088</v>
      </c>
      <c r="H24" s="22"/>
      <c r="I24" s="23" t="s">
        <v>14</v>
      </c>
      <c r="J24" s="23"/>
      <c r="K24" s="24"/>
      <c r="L24" s="24"/>
      <c r="M24" s="24"/>
      <c r="N24" s="24"/>
      <c r="O24" s="26"/>
      <c r="P24" s="25"/>
      <c r="Q24" s="24"/>
      <c r="R24" s="24"/>
      <c r="S24" s="26"/>
      <c r="T24" s="25"/>
      <c r="U24" s="24"/>
      <c r="V24" s="24"/>
      <c r="W24" s="26"/>
    </row>
    <row r="25" spans="1:26" s="1" customFormat="1" x14ac:dyDescent="0.25">
      <c r="B25" s="5" t="s">
        <v>651</v>
      </c>
      <c r="C25" s="1" t="s">
        <v>652</v>
      </c>
      <c r="D25" s="202">
        <v>12.55</v>
      </c>
      <c r="E25" s="3">
        <f>+D25*H25</f>
        <v>1641.7643438000002</v>
      </c>
      <c r="F25" s="3">
        <f>+[54]Main!$L$5-[54]Main!$L$6</f>
        <v>585.51599999999996</v>
      </c>
      <c r="G25" s="3">
        <f>+E25-F25</f>
        <v>1056.2483438000004</v>
      </c>
      <c r="H25" s="3">
        <f>+[54]Main!$L$3</f>
        <v>130.81787600000001</v>
      </c>
      <c r="I25" s="4" t="s">
        <v>653</v>
      </c>
      <c r="J25" s="97">
        <v>45629</v>
      </c>
    </row>
    <row r="26" spans="1:26" s="20" customFormat="1" x14ac:dyDescent="0.25">
      <c r="B26" s="51" t="s">
        <v>249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B27" s="124" t="s">
        <v>476</v>
      </c>
      <c r="C27" s="124" t="s">
        <v>477</v>
      </c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5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5">
      <c r="D29" s="21"/>
      <c r="E29" s="22"/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5">
      <c r="B30" s="1" t="s">
        <v>54</v>
      </c>
      <c r="C30" s="1"/>
      <c r="D30" s="2"/>
      <c r="E30" s="3">
        <v>31500</v>
      </c>
      <c r="G30" s="44">
        <f>E30</f>
        <v>31500</v>
      </c>
      <c r="Y30" s="10">
        <v>270</v>
      </c>
      <c r="Z30" s="117">
        <f>G30/Y30</f>
        <v>116.66666666666667</v>
      </c>
    </row>
    <row r="31" spans="1:26" s="20" customFormat="1" x14ac:dyDescent="0.25">
      <c r="B31" s="20" t="s">
        <v>57</v>
      </c>
      <c r="D31" s="21"/>
      <c r="E31" s="22">
        <v>27000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s="20" customFormat="1" x14ac:dyDescent="0.25">
      <c r="B32" s="20" t="s">
        <v>108</v>
      </c>
      <c r="D32" s="21"/>
      <c r="E32" s="22">
        <v>10000</v>
      </c>
      <c r="F32" s="23"/>
      <c r="G32" s="23"/>
      <c r="H32" s="23"/>
      <c r="I32" s="23"/>
      <c r="J32" s="23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2:10" x14ac:dyDescent="0.25">
      <c r="B33" s="49" t="s">
        <v>248</v>
      </c>
    </row>
    <row r="34" spans="2:10" x14ac:dyDescent="0.25">
      <c r="B34" s="104" t="s">
        <v>398</v>
      </c>
    </row>
    <row r="35" spans="2:10" x14ac:dyDescent="0.25">
      <c r="B35" s="123" t="s">
        <v>460</v>
      </c>
    </row>
    <row r="36" spans="2:10" x14ac:dyDescent="0.25">
      <c r="B36" s="119" t="s">
        <v>441</v>
      </c>
      <c r="E36" s="10">
        <v>100</v>
      </c>
      <c r="H36" s="119" t="s">
        <v>442</v>
      </c>
    </row>
    <row r="37" spans="2:10" x14ac:dyDescent="0.25">
      <c r="B37" s="123" t="s">
        <v>461</v>
      </c>
      <c r="H37" s="119"/>
      <c r="J37" s="123" t="s">
        <v>462</v>
      </c>
    </row>
    <row r="38" spans="2:10" x14ac:dyDescent="0.25">
      <c r="B38" s="123" t="s">
        <v>466</v>
      </c>
      <c r="H38" s="119"/>
      <c r="J38" s="123"/>
    </row>
    <row r="39" spans="2:10" x14ac:dyDescent="0.25">
      <c r="B39" s="123" t="s">
        <v>467</v>
      </c>
      <c r="H39" s="119"/>
      <c r="J39" s="123"/>
    </row>
    <row r="40" spans="2:10" x14ac:dyDescent="0.25">
      <c r="B40" s="123" t="s">
        <v>468</v>
      </c>
    </row>
    <row r="41" spans="2:10" x14ac:dyDescent="0.25">
      <c r="B41" s="123" t="s">
        <v>474</v>
      </c>
      <c r="J41" s="123" t="s">
        <v>475</v>
      </c>
    </row>
    <row r="42" spans="2:10" x14ac:dyDescent="0.25">
      <c r="B42" s="123" t="s">
        <v>469</v>
      </c>
    </row>
    <row r="43" spans="2:10" x14ac:dyDescent="0.25">
      <c r="B43" s="123" t="s">
        <v>471</v>
      </c>
    </row>
    <row r="44" spans="2:10" x14ac:dyDescent="0.25">
      <c r="B44" s="123"/>
    </row>
    <row r="45" spans="2:10" x14ac:dyDescent="0.25">
      <c r="B45" s="123" t="s">
        <v>459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4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5" r:id="rId10" xr:uid="{98BBC049-D227-42DD-8062-A881C025E779}"/>
    <hyperlink ref="B16" r:id="rId11" xr:uid="{3864C444-9E69-4A03-9FA4-0BCF86843BA6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Z6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9.1796875" defaultRowHeight="12.5" x14ac:dyDescent="0.25"/>
  <cols>
    <col min="1" max="1" width="5" style="164" bestFit="1" customWidth="1"/>
    <col min="2" max="2" width="18.26953125" style="164" customWidth="1"/>
    <col min="3" max="3" width="10.453125" style="164" bestFit="1" customWidth="1"/>
    <col min="4" max="4" width="9.1796875" style="165"/>
    <col min="5" max="5" width="9.1796875" style="163"/>
    <col min="6" max="7" width="9.1796875" style="165"/>
    <col min="8" max="8" width="9.1796875" style="163"/>
    <col min="9" max="9" width="9.1796875" style="165"/>
    <col min="10" max="10" width="10.453125" style="164" bestFit="1" customWidth="1"/>
    <col min="11" max="16384" width="9.1796875" style="164"/>
  </cols>
  <sheetData>
    <row r="1" spans="1:26" x14ac:dyDescent="0.25">
      <c r="A1" s="5" t="s">
        <v>142</v>
      </c>
    </row>
    <row r="2" spans="1:26" x14ac:dyDescent="0.25">
      <c r="B2" s="166" t="s">
        <v>0</v>
      </c>
      <c r="C2" s="167" t="s">
        <v>1</v>
      </c>
      <c r="D2" s="168" t="s">
        <v>2</v>
      </c>
      <c r="E2" s="169" t="s">
        <v>3</v>
      </c>
      <c r="F2" s="170" t="s">
        <v>4</v>
      </c>
      <c r="G2" s="170" t="s">
        <v>5</v>
      </c>
      <c r="H2" s="169" t="s">
        <v>212</v>
      </c>
      <c r="I2" s="170" t="s">
        <v>6</v>
      </c>
      <c r="J2" s="170" t="s">
        <v>223</v>
      </c>
      <c r="K2" s="171" t="s">
        <v>207</v>
      </c>
      <c r="L2" s="171" t="s">
        <v>211</v>
      </c>
      <c r="M2" s="171" t="s">
        <v>208</v>
      </c>
      <c r="N2" s="171" t="s">
        <v>209</v>
      </c>
      <c r="O2" s="172" t="s">
        <v>210</v>
      </c>
      <c r="P2" s="173" t="s">
        <v>228</v>
      </c>
      <c r="Q2" s="171" t="s">
        <v>229</v>
      </c>
      <c r="R2" s="171" t="s">
        <v>230</v>
      </c>
      <c r="S2" s="172">
        <v>2025</v>
      </c>
      <c r="T2" s="171">
        <v>2026</v>
      </c>
      <c r="U2" s="173" t="s">
        <v>227</v>
      </c>
      <c r="V2" s="171">
        <v>2023</v>
      </c>
      <c r="W2" s="171">
        <v>2024</v>
      </c>
      <c r="X2" s="172">
        <v>2025</v>
      </c>
      <c r="Y2" s="172">
        <v>2026</v>
      </c>
      <c r="Z2" s="174" t="s">
        <v>213</v>
      </c>
    </row>
    <row r="3" spans="1:26" s="175" customFormat="1" x14ac:dyDescent="0.25">
      <c r="A3" s="269" t="s">
        <v>252</v>
      </c>
      <c r="B3" s="114" t="s">
        <v>161</v>
      </c>
      <c r="C3" s="175" t="s">
        <v>162</v>
      </c>
      <c r="D3" s="176">
        <v>315</v>
      </c>
      <c r="E3" s="163">
        <f>+D3*H3</f>
        <v>667800</v>
      </c>
      <c r="F3" s="163">
        <f>+[55]Main!$K$5-[55]Main!$K$6</f>
        <v>-1406</v>
      </c>
      <c r="G3" s="163">
        <f>+E3-F3</f>
        <v>669206</v>
      </c>
      <c r="H3" s="163">
        <f>+[55]Main!$K$3</f>
        <v>2120</v>
      </c>
      <c r="I3" s="313" t="s">
        <v>668</v>
      </c>
      <c r="J3" s="178">
        <v>45575</v>
      </c>
      <c r="S3" s="315">
        <f t="shared" ref="S3:S14" si="0">($G3/$H3)/X3</f>
        <v>27.934797128068123</v>
      </c>
      <c r="T3" s="315">
        <f t="shared" ref="T3:T14" si="1">($G3/$H3)/Y3</f>
        <v>24.738495889276631</v>
      </c>
      <c r="X3" s="314">
        <v>11.3</v>
      </c>
      <c r="Y3" s="314">
        <v>12.76</v>
      </c>
    </row>
    <row r="4" spans="1:26" s="175" customFormat="1" x14ac:dyDescent="0.25">
      <c r="A4" s="269" t="s">
        <v>252</v>
      </c>
      <c r="B4" s="114" t="s">
        <v>163</v>
      </c>
      <c r="C4" s="175" t="s">
        <v>313</v>
      </c>
      <c r="D4" s="176">
        <v>486.54</v>
      </c>
      <c r="E4" s="163">
        <v>329430</v>
      </c>
      <c r="F4" s="313">
        <f>[56]Main!$J$5-[56]Main!$J$6</f>
        <v>-8962</v>
      </c>
      <c r="G4" s="163">
        <f>+E4-F4</f>
        <v>338392</v>
      </c>
      <c r="H4" s="163">
        <f>+[56]Main!$J$3</f>
        <v>927</v>
      </c>
      <c r="I4" s="313" t="s">
        <v>668</v>
      </c>
      <c r="S4" s="315">
        <f t="shared" si="0"/>
        <v>22.972933524235863</v>
      </c>
      <c r="T4" s="315">
        <f t="shared" si="1"/>
        <v>19.531295543076933</v>
      </c>
      <c r="X4" s="314">
        <v>15.89</v>
      </c>
      <c r="Y4" s="314">
        <v>18.690000000000001</v>
      </c>
    </row>
    <row r="5" spans="1:26" x14ac:dyDescent="0.25">
      <c r="A5" s="269" t="s">
        <v>252</v>
      </c>
      <c r="B5" s="90" t="s">
        <v>26</v>
      </c>
      <c r="C5" s="164" t="s">
        <v>27</v>
      </c>
      <c r="D5" s="177">
        <v>551.38</v>
      </c>
      <c r="E5" s="163">
        <f>+D5*H5</f>
        <v>154386.4</v>
      </c>
      <c r="F5" s="163">
        <f>[57]Main!$L$5-[57]Main!$L$6</f>
        <v>-1833</v>
      </c>
      <c r="G5" s="163">
        <f>E5-F5</f>
        <v>156219.4</v>
      </c>
      <c r="H5" s="163">
        <f>+[57]Main!$L$3</f>
        <v>280</v>
      </c>
      <c r="I5" s="184" t="s">
        <v>612</v>
      </c>
      <c r="J5" s="178">
        <v>45573</v>
      </c>
      <c r="K5" s="179"/>
      <c r="L5" s="179"/>
      <c r="M5" s="179"/>
      <c r="N5" s="179"/>
      <c r="Q5" s="179"/>
      <c r="R5" s="179"/>
      <c r="S5" s="315">
        <f t="shared" si="0"/>
        <v>28.788773404098482</v>
      </c>
      <c r="T5" s="315">
        <f t="shared" si="1"/>
        <v>25.360292207792209</v>
      </c>
      <c r="U5" s="179"/>
      <c r="V5" s="179"/>
      <c r="W5" s="179"/>
      <c r="X5" s="176">
        <v>19.38</v>
      </c>
      <c r="Y5" s="314">
        <v>22</v>
      </c>
      <c r="Z5" s="164">
        <v>1984</v>
      </c>
    </row>
    <row r="6" spans="1:26" s="175" customFormat="1" x14ac:dyDescent="0.25">
      <c r="A6" s="269" t="s">
        <v>252</v>
      </c>
      <c r="B6" s="114" t="s">
        <v>256</v>
      </c>
      <c r="C6" s="175" t="s">
        <v>257</v>
      </c>
      <c r="D6" s="176">
        <v>446.75</v>
      </c>
      <c r="E6" s="163">
        <f>+D6*H6</f>
        <v>137509.65</v>
      </c>
      <c r="F6" s="163">
        <f>+[58]Main!$Q$5-[58]Main!$Q$6</f>
        <v>-7938</v>
      </c>
      <c r="G6" s="163">
        <f>+E6-F6</f>
        <v>145447.65</v>
      </c>
      <c r="H6" s="163">
        <f>+[58]Main!$Q$3</f>
        <v>307.8</v>
      </c>
      <c r="I6" s="253" t="s">
        <v>668</v>
      </c>
      <c r="J6" s="178">
        <v>45700</v>
      </c>
      <c r="O6" s="164"/>
      <c r="P6" s="164"/>
      <c r="S6" s="315">
        <f t="shared" si="0"/>
        <v>27.553322080711983</v>
      </c>
      <c r="T6" s="315">
        <f t="shared" si="1"/>
        <v>24.585820691165999</v>
      </c>
      <c r="X6" s="176">
        <v>17.149999999999999</v>
      </c>
      <c r="Y6" s="314">
        <v>19.22</v>
      </c>
      <c r="Z6" s="164">
        <v>1925</v>
      </c>
    </row>
    <row r="7" spans="1:26" s="175" customFormat="1" x14ac:dyDescent="0.25">
      <c r="A7" s="269" t="s">
        <v>252</v>
      </c>
      <c r="B7" s="175" t="s">
        <v>260</v>
      </c>
      <c r="C7" s="175" t="s">
        <v>261</v>
      </c>
      <c r="D7" s="176">
        <v>280.72000000000003</v>
      </c>
      <c r="E7" s="163">
        <f>+D7*H7</f>
        <v>114561.83200000002</v>
      </c>
      <c r="F7" s="163"/>
      <c r="G7" s="163">
        <f>E7-F7</f>
        <v>114561.83200000002</v>
      </c>
      <c r="H7" s="163">
        <v>408.1</v>
      </c>
      <c r="I7" s="163"/>
      <c r="O7" s="164"/>
      <c r="P7" s="164"/>
      <c r="S7" s="315">
        <f t="shared" si="0"/>
        <v>28.213065326633171</v>
      </c>
      <c r="T7" s="315">
        <f t="shared" si="1"/>
        <v>25.777777777777779</v>
      </c>
      <c r="X7" s="176">
        <v>9.9499999999999993</v>
      </c>
      <c r="Y7" s="314">
        <v>10.89</v>
      </c>
    </row>
    <row r="8" spans="1:26" x14ac:dyDescent="0.25">
      <c r="A8" s="269" t="s">
        <v>252</v>
      </c>
      <c r="B8" s="164" t="s">
        <v>264</v>
      </c>
      <c r="C8" s="185" t="s">
        <v>636</v>
      </c>
      <c r="D8" s="165">
        <v>198.02</v>
      </c>
      <c r="E8" s="163">
        <f>+D8*H8</f>
        <v>111683.28</v>
      </c>
      <c r="G8" s="163">
        <f>E8-F8</f>
        <v>111683.28</v>
      </c>
      <c r="H8" s="163">
        <v>564</v>
      </c>
      <c r="S8" s="315">
        <f t="shared" si="0"/>
        <v>19.337890625</v>
      </c>
      <c r="T8" s="315">
        <f t="shared" si="1"/>
        <v>16.501666666666669</v>
      </c>
      <c r="X8" s="314">
        <v>10.24</v>
      </c>
      <c r="Y8" s="314">
        <v>12</v>
      </c>
    </row>
    <row r="9" spans="1:26" x14ac:dyDescent="0.25">
      <c r="A9" s="269" t="s">
        <v>252</v>
      </c>
      <c r="B9" s="164" t="s">
        <v>267</v>
      </c>
      <c r="C9" s="164" t="s">
        <v>268</v>
      </c>
      <c r="D9" s="165">
        <v>153.22</v>
      </c>
      <c r="E9" s="163">
        <f>+D9*H9</f>
        <v>87978.923999999999</v>
      </c>
      <c r="G9" s="163">
        <f>+E9-F9</f>
        <v>87978.923999999999</v>
      </c>
      <c r="H9" s="163">
        <v>574.20000000000005</v>
      </c>
      <c r="S9" s="315">
        <f t="shared" si="0"/>
        <v>22.565537555228275</v>
      </c>
      <c r="T9" s="315">
        <f t="shared" si="1"/>
        <v>20.240422721268164</v>
      </c>
      <c r="X9" s="314">
        <v>6.79</v>
      </c>
      <c r="Y9" s="314">
        <v>7.57</v>
      </c>
    </row>
    <row r="10" spans="1:26" s="175" customFormat="1" x14ac:dyDescent="0.25">
      <c r="A10" s="269" t="s">
        <v>252</v>
      </c>
      <c r="B10" s="114" t="s">
        <v>31</v>
      </c>
      <c r="C10" s="175" t="s">
        <v>32</v>
      </c>
      <c r="D10" s="176">
        <v>59.35</v>
      </c>
      <c r="E10" s="163">
        <f>D10*H10</f>
        <v>60180.9</v>
      </c>
      <c r="F10" s="163">
        <f>[59]Main!$M$5-[59]Main!$M$6</f>
        <v>5527</v>
      </c>
      <c r="G10" s="163">
        <f>E10-F10</f>
        <v>54653.9</v>
      </c>
      <c r="H10" s="163">
        <f>[59]Main!$M$3</f>
        <v>1014</v>
      </c>
      <c r="I10" s="250" t="s">
        <v>668</v>
      </c>
      <c r="J10" s="178">
        <v>45755</v>
      </c>
      <c r="O10" s="164"/>
      <c r="P10" s="164"/>
      <c r="S10" s="315">
        <f t="shared" si="0"/>
        <v>10.715568521808008</v>
      </c>
      <c r="T10" s="315">
        <f t="shared" si="1"/>
        <v>9.5566151887755826</v>
      </c>
      <c r="X10" s="314">
        <v>5.03</v>
      </c>
      <c r="Y10" s="314">
        <v>5.64</v>
      </c>
    </row>
    <row r="11" spans="1:26" s="175" customFormat="1" x14ac:dyDescent="0.25">
      <c r="A11" s="269" t="s">
        <v>252</v>
      </c>
      <c r="B11" s="114" t="s">
        <v>242</v>
      </c>
      <c r="C11" s="251" t="s">
        <v>669</v>
      </c>
      <c r="D11" s="176">
        <v>46.66</v>
      </c>
      <c r="E11" s="163">
        <f>+D11*H11</f>
        <v>28915.202000000001</v>
      </c>
      <c r="F11" s="163"/>
      <c r="G11" s="163">
        <f>+E11-F11</f>
        <v>28915.202000000001</v>
      </c>
      <c r="H11" s="163">
        <v>619.70000000000005</v>
      </c>
      <c r="I11" s="163"/>
      <c r="J11" s="178">
        <v>45779</v>
      </c>
      <c r="O11" s="164"/>
      <c r="P11" s="164"/>
      <c r="S11" s="315">
        <f t="shared" si="0"/>
        <v>10.604545454545454</v>
      </c>
      <c r="T11" s="315">
        <f t="shared" si="1"/>
        <v>8.6088560885608842</v>
      </c>
      <c r="X11" s="314">
        <v>4.4000000000000004</v>
      </c>
      <c r="Y11" s="314">
        <v>5.42</v>
      </c>
    </row>
    <row r="12" spans="1:26" s="175" customFormat="1" x14ac:dyDescent="0.25">
      <c r="A12" s="269" t="s">
        <v>252</v>
      </c>
      <c r="B12" s="175" t="s">
        <v>269</v>
      </c>
      <c r="C12" s="175" t="s">
        <v>270</v>
      </c>
      <c r="D12" s="176">
        <v>138.08000000000001</v>
      </c>
      <c r="E12" s="163">
        <f>+D12*H12</f>
        <v>49722.608000000007</v>
      </c>
      <c r="F12" s="163"/>
      <c r="G12" s="163">
        <f>+E12-F12</f>
        <v>49722.608000000007</v>
      </c>
      <c r="H12" s="163">
        <v>360.1</v>
      </c>
      <c r="I12" s="163"/>
      <c r="O12" s="164"/>
      <c r="P12" s="164"/>
      <c r="S12" s="315">
        <f t="shared" si="0"/>
        <v>27.616000000000003</v>
      </c>
      <c r="T12" s="315">
        <f t="shared" si="1"/>
        <v>26.003766478342754</v>
      </c>
      <c r="X12" s="314">
        <v>5</v>
      </c>
      <c r="Y12" s="314">
        <v>5.31</v>
      </c>
    </row>
    <row r="13" spans="1:26" s="175" customFormat="1" x14ac:dyDescent="0.25">
      <c r="A13" s="269" t="s">
        <v>252</v>
      </c>
      <c r="B13" s="175" t="s">
        <v>287</v>
      </c>
      <c r="C13" s="175" t="s">
        <v>287</v>
      </c>
      <c r="D13" s="176">
        <v>512</v>
      </c>
      <c r="E13" s="163">
        <f>+D13*H13</f>
        <v>39782.400000000001</v>
      </c>
      <c r="F13" s="163"/>
      <c r="G13" s="163">
        <f>+E13-F13</f>
        <v>39782.400000000001</v>
      </c>
      <c r="H13" s="163">
        <v>77.7</v>
      </c>
      <c r="I13" s="163"/>
      <c r="O13" s="164"/>
      <c r="P13" s="164"/>
      <c r="S13" s="315">
        <f t="shared" si="0"/>
        <v>30.206489675516224</v>
      </c>
      <c r="T13" s="315">
        <f t="shared" si="1"/>
        <v>26.736292428198436</v>
      </c>
      <c r="X13" s="314">
        <v>16.95</v>
      </c>
      <c r="Y13" s="314">
        <v>19.149999999999999</v>
      </c>
    </row>
    <row r="14" spans="1:26" s="175" customFormat="1" x14ac:dyDescent="0.25">
      <c r="A14" s="269" t="s">
        <v>252</v>
      </c>
      <c r="B14" s="114" t="s">
        <v>628</v>
      </c>
      <c r="C14" s="175" t="s">
        <v>629</v>
      </c>
      <c r="D14" s="176">
        <v>35.299999999999997</v>
      </c>
      <c r="E14" s="163">
        <f>+D14*H14</f>
        <v>31224.756199999996</v>
      </c>
      <c r="F14" s="163">
        <f>+[60]Main!$L$5-[60]Main!$L$6</f>
        <v>7251</v>
      </c>
      <c r="G14" s="163">
        <f>+E14-F14</f>
        <v>23973.756199999996</v>
      </c>
      <c r="H14" s="163">
        <f>+[60]Main!$L$3</f>
        <v>884.55399999999997</v>
      </c>
      <c r="I14" s="163" t="s">
        <v>612</v>
      </c>
      <c r="J14" s="178">
        <v>45559</v>
      </c>
      <c r="O14" s="164"/>
      <c r="P14" s="164"/>
      <c r="S14" s="315">
        <f t="shared" si="0"/>
        <v>20.37793125292945</v>
      </c>
      <c r="T14" s="315">
        <f t="shared" si="1"/>
        <v>16.730029979256894</v>
      </c>
      <c r="X14" s="314">
        <v>1.33</v>
      </c>
      <c r="Y14" s="314">
        <v>1.62</v>
      </c>
    </row>
    <row r="15" spans="1:26" s="175" customFormat="1" x14ac:dyDescent="0.25">
      <c r="A15" s="269" t="s">
        <v>252</v>
      </c>
      <c r="B15" s="175" t="s">
        <v>271</v>
      </c>
      <c r="C15" s="175" t="s">
        <v>272</v>
      </c>
      <c r="D15" s="176"/>
      <c r="E15" s="163"/>
      <c r="F15" s="163"/>
      <c r="G15" s="163"/>
      <c r="H15" s="163"/>
      <c r="I15" s="163"/>
      <c r="O15" s="164"/>
      <c r="P15" s="164"/>
      <c r="X15" s="314"/>
      <c r="Y15" s="314"/>
    </row>
    <row r="16" spans="1:26" s="175" customFormat="1" x14ac:dyDescent="0.25">
      <c r="A16" s="317" t="s">
        <v>252</v>
      </c>
      <c r="B16" s="318" t="s">
        <v>708</v>
      </c>
      <c r="C16" s="318" t="s">
        <v>709</v>
      </c>
      <c r="D16" s="176"/>
      <c r="E16" s="163"/>
      <c r="F16" s="163"/>
      <c r="G16" s="163"/>
      <c r="H16" s="163"/>
      <c r="I16" s="163"/>
      <c r="O16" s="164"/>
      <c r="P16" s="164"/>
      <c r="X16" s="314"/>
      <c r="Y16" s="314"/>
    </row>
    <row r="17" spans="1:25" s="175" customFormat="1" x14ac:dyDescent="0.25">
      <c r="A17" s="269" t="s">
        <v>252</v>
      </c>
      <c r="B17" s="276" t="s">
        <v>681</v>
      </c>
      <c r="C17" s="276" t="s">
        <v>682</v>
      </c>
      <c r="D17" s="176"/>
      <c r="E17" s="163"/>
      <c r="F17" s="163"/>
      <c r="G17" s="163"/>
      <c r="H17" s="163"/>
      <c r="I17" s="163"/>
      <c r="O17" s="164"/>
      <c r="P17" s="164"/>
      <c r="X17" s="314"/>
      <c r="Y17" s="314"/>
    </row>
    <row r="18" spans="1:25" s="175" customFormat="1" x14ac:dyDescent="0.25">
      <c r="A18" s="269" t="s">
        <v>252</v>
      </c>
      <c r="B18" s="277" t="s">
        <v>683</v>
      </c>
      <c r="C18" s="277" t="s">
        <v>684</v>
      </c>
      <c r="D18" s="176"/>
      <c r="E18" s="163"/>
      <c r="F18" s="163"/>
      <c r="G18" s="163"/>
      <c r="H18" s="163"/>
      <c r="I18" s="163"/>
      <c r="O18" s="164"/>
      <c r="P18" s="164"/>
      <c r="X18" s="314"/>
      <c r="Y18" s="314"/>
    </row>
    <row r="19" spans="1:25" s="175" customFormat="1" x14ac:dyDescent="0.25">
      <c r="A19" s="269" t="s">
        <v>252</v>
      </c>
      <c r="B19" s="280" t="s">
        <v>101</v>
      </c>
      <c r="C19" s="280" t="s">
        <v>102</v>
      </c>
      <c r="D19" s="176"/>
      <c r="E19" s="163"/>
      <c r="F19" s="163"/>
      <c r="G19" s="163"/>
      <c r="H19" s="163"/>
      <c r="I19" s="163"/>
      <c r="O19" s="164"/>
      <c r="P19" s="164"/>
      <c r="X19" s="314"/>
      <c r="Y19" s="314"/>
    </row>
    <row r="20" spans="1:25" s="175" customFormat="1" x14ac:dyDescent="0.25">
      <c r="A20" s="269" t="s">
        <v>252</v>
      </c>
      <c r="B20" s="175" t="s">
        <v>288</v>
      </c>
      <c r="C20" s="175" t="s">
        <v>289</v>
      </c>
      <c r="D20" s="176">
        <v>98.94</v>
      </c>
      <c r="E20" s="163"/>
      <c r="F20" s="163"/>
      <c r="G20" s="163"/>
      <c r="H20" s="163"/>
      <c r="I20" s="163"/>
      <c r="O20" s="164"/>
      <c r="P20" s="164"/>
      <c r="X20" s="314"/>
      <c r="Y20" s="314"/>
    </row>
    <row r="21" spans="1:25" s="175" customFormat="1" x14ac:dyDescent="0.25">
      <c r="A21" s="269" t="s">
        <v>252</v>
      </c>
      <c r="B21" s="273" t="s">
        <v>677</v>
      </c>
      <c r="C21" s="273" t="s">
        <v>678</v>
      </c>
      <c r="D21" s="176"/>
      <c r="E21" s="163"/>
      <c r="F21" s="163"/>
      <c r="G21" s="163"/>
      <c r="H21" s="163"/>
      <c r="I21" s="163"/>
      <c r="O21" s="164"/>
      <c r="P21" s="164"/>
      <c r="X21" s="314"/>
      <c r="Y21" s="314"/>
    </row>
    <row r="22" spans="1:25" s="175" customFormat="1" x14ac:dyDescent="0.25">
      <c r="A22" s="269" t="s">
        <v>252</v>
      </c>
      <c r="B22" s="175" t="s">
        <v>292</v>
      </c>
      <c r="C22" s="175" t="s">
        <v>293</v>
      </c>
      <c r="D22" s="176"/>
      <c r="E22" s="163"/>
      <c r="F22" s="163"/>
      <c r="G22" s="163"/>
      <c r="H22" s="163"/>
      <c r="I22" s="163"/>
      <c r="O22" s="164"/>
      <c r="P22" s="164"/>
    </row>
    <row r="23" spans="1:25" s="175" customFormat="1" x14ac:dyDescent="0.25">
      <c r="A23" s="269" t="s">
        <v>252</v>
      </c>
      <c r="B23" s="183" t="s">
        <v>634</v>
      </c>
      <c r="C23" s="183" t="s">
        <v>635</v>
      </c>
      <c r="D23" s="176">
        <v>27.5</v>
      </c>
      <c r="E23" s="163"/>
      <c r="F23" s="163"/>
      <c r="G23" s="163"/>
      <c r="H23" s="163"/>
      <c r="I23" s="163"/>
      <c r="O23" s="164"/>
      <c r="P23" s="164"/>
    </row>
    <row r="24" spans="1:25" s="175" customFormat="1" x14ac:dyDescent="0.25">
      <c r="A24" s="269" t="s">
        <v>252</v>
      </c>
      <c r="B24" s="175" t="s">
        <v>295</v>
      </c>
      <c r="C24" s="175" t="s">
        <v>296</v>
      </c>
      <c r="D24" s="176">
        <v>142.76</v>
      </c>
      <c r="E24" s="163"/>
      <c r="F24" s="163"/>
      <c r="G24" s="163"/>
      <c r="H24" s="163"/>
      <c r="I24" s="163"/>
      <c r="O24" s="164"/>
      <c r="P24" s="164"/>
    </row>
    <row r="25" spans="1:25" s="175" customFormat="1" x14ac:dyDescent="0.25">
      <c r="A25" s="269" t="s">
        <v>252</v>
      </c>
      <c r="B25" s="175" t="s">
        <v>305</v>
      </c>
      <c r="C25" s="175" t="s">
        <v>306</v>
      </c>
      <c r="D25" s="176">
        <v>72.069999999999993</v>
      </c>
      <c r="E25" s="163"/>
      <c r="F25" s="163"/>
      <c r="G25" s="163"/>
      <c r="H25" s="163"/>
      <c r="I25" s="163"/>
      <c r="O25" s="164"/>
      <c r="P25" s="164"/>
    </row>
    <row r="26" spans="1:25" s="175" customFormat="1" x14ac:dyDescent="0.25">
      <c r="A26" s="269" t="s">
        <v>252</v>
      </c>
      <c r="B26" s="175" t="s">
        <v>70</v>
      </c>
      <c r="C26" s="175" t="s">
        <v>71</v>
      </c>
      <c r="D26" s="176">
        <v>68.930000000000007</v>
      </c>
      <c r="E26" s="163">
        <v>18053</v>
      </c>
      <c r="F26" s="163"/>
      <c r="G26" s="163"/>
      <c r="H26" s="163"/>
      <c r="I26" s="163"/>
      <c r="O26" s="164"/>
      <c r="P26" s="164"/>
    </row>
    <row r="27" spans="1:25" s="175" customFormat="1" x14ac:dyDescent="0.25">
      <c r="A27" s="269" t="s">
        <v>252</v>
      </c>
      <c r="B27" s="302" t="s">
        <v>697</v>
      </c>
      <c r="C27" s="302" t="s">
        <v>698</v>
      </c>
      <c r="D27" s="176"/>
      <c r="E27" s="163"/>
      <c r="F27" s="163"/>
      <c r="G27" s="163"/>
      <c r="H27" s="163"/>
      <c r="I27" s="163"/>
      <c r="O27" s="164"/>
      <c r="P27" s="164"/>
    </row>
    <row r="28" spans="1:25" s="175" customFormat="1" x14ac:dyDescent="0.25">
      <c r="A28" s="333" t="s">
        <v>252</v>
      </c>
      <c r="B28" s="334" t="s">
        <v>728</v>
      </c>
      <c r="C28" s="334" t="s">
        <v>729</v>
      </c>
      <c r="D28" s="176"/>
      <c r="E28" s="163"/>
      <c r="F28" s="163"/>
      <c r="G28" s="163"/>
      <c r="H28" s="163"/>
      <c r="I28" s="163"/>
      <c r="O28" s="164"/>
      <c r="P28" s="164"/>
    </row>
    <row r="29" spans="1:25" s="175" customFormat="1" x14ac:dyDescent="0.25">
      <c r="A29" s="175" t="s">
        <v>252</v>
      </c>
      <c r="B29" s="175" t="s">
        <v>82</v>
      </c>
      <c r="C29" s="175" t="s">
        <v>83</v>
      </c>
      <c r="D29" s="176">
        <v>58.75</v>
      </c>
      <c r="E29" s="163">
        <v>14980</v>
      </c>
      <c r="F29" s="163"/>
      <c r="G29" s="163"/>
      <c r="H29" s="163"/>
      <c r="I29" s="163"/>
      <c r="O29" s="164"/>
      <c r="P29" s="164"/>
    </row>
    <row r="30" spans="1:25" s="175" customFormat="1" x14ac:dyDescent="0.25">
      <c r="A30" s="175" t="s">
        <v>252</v>
      </c>
      <c r="B30" s="175" t="s">
        <v>103</v>
      </c>
      <c r="C30" s="175" t="s">
        <v>104</v>
      </c>
      <c r="D30" s="176">
        <v>184.44</v>
      </c>
      <c r="E30" s="163">
        <v>10400</v>
      </c>
      <c r="F30" s="163"/>
      <c r="G30" s="163"/>
      <c r="H30" s="163"/>
      <c r="I30" s="163"/>
      <c r="O30" s="164"/>
      <c r="P30" s="164"/>
    </row>
    <row r="31" spans="1:25" x14ac:dyDescent="0.25">
      <c r="A31" s="269" t="s">
        <v>252</v>
      </c>
      <c r="B31" s="180" t="s">
        <v>299</v>
      </c>
      <c r="C31" s="164" t="s">
        <v>300</v>
      </c>
      <c r="D31" s="177">
        <v>175.2</v>
      </c>
      <c r="E31" s="163">
        <v>27500</v>
      </c>
      <c r="F31" s="163"/>
      <c r="G31" s="163"/>
      <c r="J31" s="165"/>
      <c r="K31" s="179"/>
      <c r="L31" s="179"/>
      <c r="M31" s="179"/>
      <c r="N31" s="179"/>
      <c r="Q31" s="179"/>
      <c r="R31" s="179"/>
      <c r="S31" s="179"/>
      <c r="T31" s="179"/>
      <c r="U31" s="179"/>
      <c r="V31" s="179"/>
      <c r="W31" s="179"/>
      <c r="X31" s="179"/>
      <c r="Y31" s="179"/>
    </row>
    <row r="32" spans="1:25" x14ac:dyDescent="0.25">
      <c r="A32" s="320" t="s">
        <v>252</v>
      </c>
      <c r="B32" s="321" t="s">
        <v>712</v>
      </c>
      <c r="C32" s="322" t="s">
        <v>713</v>
      </c>
      <c r="D32" s="177"/>
      <c r="F32" s="163"/>
      <c r="G32" s="163"/>
      <c r="J32" s="165"/>
      <c r="K32" s="179"/>
      <c r="L32" s="179"/>
      <c r="M32" s="179"/>
      <c r="N32" s="179"/>
      <c r="Q32" s="179"/>
      <c r="R32" s="179"/>
      <c r="S32" s="179"/>
      <c r="T32" s="179"/>
      <c r="U32" s="179"/>
      <c r="V32" s="179"/>
      <c r="W32" s="179"/>
      <c r="X32" s="179"/>
      <c r="Y32" s="179"/>
    </row>
    <row r="33" spans="1:25" x14ac:dyDescent="0.25">
      <c r="A33" s="320" t="s">
        <v>252</v>
      </c>
      <c r="B33" s="323" t="s">
        <v>714</v>
      </c>
      <c r="C33" s="324" t="s">
        <v>715</v>
      </c>
      <c r="D33" s="177"/>
      <c r="F33" s="163"/>
      <c r="G33" s="163"/>
      <c r="J33" s="165"/>
      <c r="K33" s="179"/>
      <c r="L33" s="179"/>
      <c r="M33" s="179"/>
      <c r="N33" s="179"/>
      <c r="Q33" s="179"/>
      <c r="R33" s="179"/>
      <c r="S33" s="179"/>
      <c r="T33" s="179"/>
      <c r="U33" s="179"/>
      <c r="V33" s="179"/>
      <c r="W33" s="179"/>
      <c r="X33" s="179"/>
      <c r="Y33" s="179"/>
    </row>
    <row r="34" spans="1:25" x14ac:dyDescent="0.25">
      <c r="A34" s="164" t="s">
        <v>252</v>
      </c>
      <c r="B34" s="180" t="s">
        <v>64</v>
      </c>
      <c r="C34" s="164" t="s">
        <v>65</v>
      </c>
      <c r="D34" s="177">
        <v>312</v>
      </c>
      <c r="E34" s="163">
        <v>19090</v>
      </c>
    </row>
    <row r="35" spans="1:25" x14ac:dyDescent="0.25">
      <c r="B35" s="191" t="s">
        <v>641</v>
      </c>
      <c r="C35" s="191" t="s">
        <v>642</v>
      </c>
      <c r="D35" s="177">
        <v>8.1300000000000008</v>
      </c>
      <c r="E35" s="163">
        <v>1700</v>
      </c>
    </row>
    <row r="36" spans="1:25" x14ac:dyDescent="0.25">
      <c r="A36" s="164" t="s">
        <v>252</v>
      </c>
      <c r="B36" s="164" t="s">
        <v>422</v>
      </c>
      <c r="C36" s="164" t="s">
        <v>423</v>
      </c>
    </row>
    <row r="37" spans="1:25" x14ac:dyDescent="0.25">
      <c r="A37" s="164" t="s">
        <v>252</v>
      </c>
      <c r="B37" s="164" t="s">
        <v>428</v>
      </c>
      <c r="C37" s="164" t="s">
        <v>429</v>
      </c>
    </row>
    <row r="38" spans="1:25" x14ac:dyDescent="0.25">
      <c r="A38" s="164" t="s">
        <v>252</v>
      </c>
      <c r="B38" s="164" t="s">
        <v>484</v>
      </c>
      <c r="C38" s="164" t="s">
        <v>485</v>
      </c>
    </row>
    <row r="39" spans="1:25" x14ac:dyDescent="0.25">
      <c r="A39" s="164" t="s">
        <v>252</v>
      </c>
      <c r="B39" s="164" t="s">
        <v>516</v>
      </c>
      <c r="C39" s="164" t="s">
        <v>517</v>
      </c>
    </row>
    <row r="40" spans="1:25" x14ac:dyDescent="0.25">
      <c r="A40" s="164" t="s">
        <v>252</v>
      </c>
      <c r="B40" s="164" t="s">
        <v>540</v>
      </c>
      <c r="C40" s="164" t="s">
        <v>541</v>
      </c>
    </row>
    <row r="41" spans="1:25" x14ac:dyDescent="0.25">
      <c r="A41" s="269" t="s">
        <v>252</v>
      </c>
      <c r="B41" s="327" t="s">
        <v>720</v>
      </c>
      <c r="C41" s="327" t="s">
        <v>721</v>
      </c>
    </row>
    <row r="42" spans="1:25" x14ac:dyDescent="0.25">
      <c r="A42" s="164" t="s">
        <v>252</v>
      </c>
      <c r="B42" s="164" t="s">
        <v>570</v>
      </c>
      <c r="C42" s="164" t="s">
        <v>571</v>
      </c>
    </row>
    <row r="43" spans="1:25" x14ac:dyDescent="0.25">
      <c r="B43" s="5" t="s">
        <v>647</v>
      </c>
      <c r="C43" s="195" t="s">
        <v>648</v>
      </c>
      <c r="D43" s="165">
        <v>8.89</v>
      </c>
    </row>
    <row r="44" spans="1:25" x14ac:dyDescent="0.25">
      <c r="A44" s="269" t="s">
        <v>252</v>
      </c>
      <c r="B44" s="304" t="s">
        <v>699</v>
      </c>
      <c r="C44" s="304" t="s">
        <v>700</v>
      </c>
    </row>
    <row r="45" spans="1:25" x14ac:dyDescent="0.25">
      <c r="A45" s="164" t="s">
        <v>252</v>
      </c>
      <c r="B45" s="164" t="s">
        <v>584</v>
      </c>
      <c r="C45" s="164" t="s">
        <v>585</v>
      </c>
    </row>
    <row r="46" spans="1:25" x14ac:dyDescent="0.25">
      <c r="A46" s="164" t="s">
        <v>252</v>
      </c>
      <c r="B46" s="164" t="s">
        <v>592</v>
      </c>
      <c r="C46" s="164" t="s">
        <v>593</v>
      </c>
    </row>
    <row r="47" spans="1:25" x14ac:dyDescent="0.25">
      <c r="A47" s="164" t="s">
        <v>252</v>
      </c>
      <c r="B47" s="164" t="s">
        <v>594</v>
      </c>
      <c r="C47" s="164" t="s">
        <v>595</v>
      </c>
    </row>
    <row r="48" spans="1:25" x14ac:dyDescent="0.25">
      <c r="B48" s="5" t="s">
        <v>657</v>
      </c>
      <c r="C48" s="238" t="s">
        <v>659</v>
      </c>
      <c r="D48" s="176">
        <v>89.5</v>
      </c>
    </row>
    <row r="49" spans="1:9" x14ac:dyDescent="0.25">
      <c r="B49" s="5" t="s">
        <v>658</v>
      </c>
      <c r="C49" s="238" t="s">
        <v>660</v>
      </c>
    </row>
    <row r="50" spans="1:9" x14ac:dyDescent="0.25">
      <c r="A50" s="164" t="s">
        <v>252</v>
      </c>
      <c r="B50" s="164" t="s">
        <v>596</v>
      </c>
      <c r="C50" s="164" t="s">
        <v>597</v>
      </c>
    </row>
    <row r="51" spans="1:9" x14ac:dyDescent="0.25">
      <c r="A51" s="164" t="s">
        <v>252</v>
      </c>
      <c r="B51" s="164" t="s">
        <v>602</v>
      </c>
      <c r="C51" s="164" t="s">
        <v>603</v>
      </c>
    </row>
    <row r="53" spans="1:9" s="175" customFormat="1" ht="13" x14ac:dyDescent="0.3">
      <c r="B53" s="47" t="s">
        <v>33</v>
      </c>
      <c r="C53" s="47" t="s">
        <v>150</v>
      </c>
      <c r="D53" s="48">
        <v>0</v>
      </c>
      <c r="E53" s="9">
        <v>100000</v>
      </c>
      <c r="F53" s="163"/>
      <c r="G53" s="163"/>
      <c r="H53" s="163"/>
      <c r="I53" s="163"/>
    </row>
    <row r="54" spans="1:9" ht="13" x14ac:dyDescent="0.3">
      <c r="B54" s="105" t="s">
        <v>58</v>
      </c>
      <c r="C54" s="105"/>
      <c r="D54" s="106">
        <v>0</v>
      </c>
      <c r="E54" s="107">
        <v>26000</v>
      </c>
    </row>
    <row r="55" spans="1:9" ht="13" x14ac:dyDescent="0.3">
      <c r="B55" s="175" t="s">
        <v>86</v>
      </c>
      <c r="C55" s="175"/>
      <c r="D55" s="48">
        <v>0</v>
      </c>
      <c r="E55" s="163">
        <v>15000</v>
      </c>
    </row>
    <row r="56" spans="1:9" ht="13" x14ac:dyDescent="0.3">
      <c r="B56" s="164" t="s">
        <v>241</v>
      </c>
      <c r="D56" s="48">
        <v>0</v>
      </c>
      <c r="E56" s="163">
        <v>75</v>
      </c>
    </row>
    <row r="57" spans="1:9" ht="13" x14ac:dyDescent="0.3">
      <c r="B57" s="164" t="s">
        <v>243</v>
      </c>
      <c r="D57" s="48">
        <v>0</v>
      </c>
    </row>
    <row r="58" spans="1:9" x14ac:dyDescent="0.25">
      <c r="B58" s="164" t="s">
        <v>273</v>
      </c>
      <c r="E58" s="163">
        <v>424</v>
      </c>
    </row>
    <row r="59" spans="1:9" x14ac:dyDescent="0.25">
      <c r="B59" s="164" t="s">
        <v>275</v>
      </c>
      <c r="E59" s="163">
        <v>159.5</v>
      </c>
    </row>
    <row r="60" spans="1:9" x14ac:dyDescent="0.25">
      <c r="B60" s="164" t="s">
        <v>399</v>
      </c>
    </row>
  </sheetData>
  <hyperlinks>
    <hyperlink ref="A1" location="Main!A1" display="Main" xr:uid="{A1A6C7BE-B827-4E66-8B30-A4C4FF1A4224}"/>
    <hyperlink ref="B5" r:id="rId1" xr:uid="{B2FAC7EC-CB56-42A3-96CC-14E909698321}"/>
    <hyperlink ref="B10" r:id="rId2" xr:uid="{B88BB985-A6BE-418A-A3AF-D32B8C4FDEDC}"/>
    <hyperlink ref="B14" r:id="rId3" xr:uid="{23C18DFD-2B8B-4983-8229-C64F85CE48F2}"/>
    <hyperlink ref="B3" r:id="rId4" xr:uid="{30FED99F-51CE-43A8-9B70-7A5CD28A7EA4}"/>
    <hyperlink ref="B48" r:id="rId5" xr:uid="{132B7EB0-8BB8-4C45-9D4A-8D6FD8E92C4F}"/>
    <hyperlink ref="B49" r:id="rId6" xr:uid="{978BA968-9397-4F51-8BD6-DF24F3265F24}"/>
    <hyperlink ref="B11" r:id="rId7" xr:uid="{4D2153E5-B181-4376-B814-CEB9F02158B7}"/>
    <hyperlink ref="B6" r:id="rId8" xr:uid="{3FE14BBE-9F87-497A-818B-F2351807C428}"/>
    <hyperlink ref="B43" r:id="rId9" xr:uid="{43326133-1D9D-4798-ABA9-22029AB1F11E}"/>
    <hyperlink ref="B4" r:id="rId10" xr:uid="{4BB53E73-5B1D-4193-91BF-A26D8EDACD0C}"/>
  </hyperlinks>
  <pageMargins left="0.7" right="0.7" top="0.75" bottom="0.75" header="0.3" footer="0.3"/>
  <legacy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.453125" style="255" bestFit="1" customWidth="1"/>
    <col min="2" max="2" width="11.453125" style="255" bestFit="1" customWidth="1"/>
    <col min="3" max="16384" width="9.1796875" style="255"/>
  </cols>
  <sheetData>
    <row r="1" spans="1:24" x14ac:dyDescent="0.25">
      <c r="A1" s="5" t="s">
        <v>142</v>
      </c>
    </row>
    <row r="2" spans="1:24" x14ac:dyDescent="0.25">
      <c r="B2" s="256" t="s">
        <v>0</v>
      </c>
      <c r="C2" s="257" t="s">
        <v>1</v>
      </c>
      <c r="D2" s="258" t="s">
        <v>2</v>
      </c>
      <c r="E2" s="259" t="s">
        <v>3</v>
      </c>
      <c r="F2" s="260" t="s">
        <v>4</v>
      </c>
      <c r="G2" s="260" t="s">
        <v>5</v>
      </c>
      <c r="H2" s="260" t="s">
        <v>212</v>
      </c>
      <c r="I2" s="260" t="s">
        <v>6</v>
      </c>
      <c r="J2" s="260" t="s">
        <v>223</v>
      </c>
      <c r="K2" s="261" t="s">
        <v>207</v>
      </c>
      <c r="L2" s="261" t="s">
        <v>211</v>
      </c>
      <c r="M2" s="261" t="s">
        <v>208</v>
      </c>
      <c r="N2" s="261" t="s">
        <v>209</v>
      </c>
      <c r="O2" s="262" t="s">
        <v>210</v>
      </c>
      <c r="P2" s="263" t="s">
        <v>228</v>
      </c>
      <c r="Q2" s="264" t="s">
        <v>229</v>
      </c>
      <c r="R2" s="264" t="s">
        <v>230</v>
      </c>
      <c r="S2" s="262">
        <v>2025</v>
      </c>
      <c r="T2" s="263" t="s">
        <v>227</v>
      </c>
      <c r="U2" s="261">
        <v>2023</v>
      </c>
      <c r="V2" s="261">
        <v>2024</v>
      </c>
      <c r="W2" s="262">
        <v>2025</v>
      </c>
      <c r="X2" s="255" t="s">
        <v>213</v>
      </c>
    </row>
    <row r="3" spans="1:24" x14ac:dyDescent="0.25">
      <c r="B3" s="254" t="s">
        <v>143</v>
      </c>
      <c r="C3" s="255" t="s">
        <v>144</v>
      </c>
      <c r="D3" s="265">
        <v>26.99</v>
      </c>
      <c r="E3" s="253">
        <v>1400</v>
      </c>
    </row>
    <row r="4" spans="1:24" x14ac:dyDescent="0.25">
      <c r="B4" s="80" t="s">
        <v>671</v>
      </c>
      <c r="C4" s="255" t="s">
        <v>672</v>
      </c>
      <c r="D4" s="265">
        <v>83.95</v>
      </c>
      <c r="E4" s="253"/>
    </row>
    <row r="5" spans="1:24" x14ac:dyDescent="0.25">
      <c r="A5" s="255" t="s">
        <v>252</v>
      </c>
      <c r="B5" s="254" t="s">
        <v>528</v>
      </c>
      <c r="C5" s="255" t="s">
        <v>529</v>
      </c>
      <c r="D5" s="265"/>
      <c r="E5" s="253"/>
    </row>
    <row r="6" spans="1:24" x14ac:dyDescent="0.25">
      <c r="A6" s="255" t="s">
        <v>252</v>
      </c>
      <c r="B6" s="254" t="s">
        <v>390</v>
      </c>
      <c r="C6" s="255" t="s">
        <v>511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9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9.1796875" defaultRowHeight="12.5" x14ac:dyDescent="0.25"/>
  <cols>
    <col min="1" max="1" width="5" style="10" bestFit="1" customWidth="1"/>
    <col min="2" max="2" width="12.81640625" style="10" customWidth="1"/>
    <col min="3" max="4" width="9.1796875" style="10"/>
    <col min="5" max="5" width="10" style="10" customWidth="1"/>
    <col min="6" max="6" width="9.1796875" style="10"/>
    <col min="7" max="7" width="10" style="10" customWidth="1"/>
    <col min="8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4" customFormat="1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5">
      <c r="A3" s="270" t="s">
        <v>252</v>
      </c>
      <c r="B3" s="5" t="s">
        <v>11</v>
      </c>
      <c r="C3" s="1" t="s">
        <v>12</v>
      </c>
      <c r="D3" s="2">
        <v>188.72</v>
      </c>
      <c r="E3" s="3">
        <f>+D3*H3</f>
        <v>2032703.1199999999</v>
      </c>
      <c r="F3" s="3">
        <f>[9]Main!$K$5-[9]Main!$K$6</f>
        <v>48579</v>
      </c>
      <c r="G3" s="3">
        <f>+E3-F3</f>
        <v>1984124.1199999999</v>
      </c>
      <c r="H3" s="44">
        <f>+[9]Main!$K$3</f>
        <v>10771</v>
      </c>
      <c r="I3" s="4" t="s">
        <v>653</v>
      </c>
      <c r="J3" s="248">
        <v>45689</v>
      </c>
    </row>
    <row r="4" spans="1:24" s="20" customFormat="1" x14ac:dyDescent="0.25">
      <c r="A4" s="270" t="s">
        <v>252</v>
      </c>
      <c r="B4" s="5" t="s">
        <v>36</v>
      </c>
      <c r="C4" s="20" t="s">
        <v>37</v>
      </c>
      <c r="D4" s="21">
        <v>152</v>
      </c>
      <c r="E4" s="22">
        <f>+D4*H4</f>
        <v>196812.75156799998</v>
      </c>
      <c r="F4" s="22">
        <f>+[61]Main!$M$5-[61]Main!$M$6</f>
        <v>10559</v>
      </c>
      <c r="G4" s="22">
        <f t="shared" ref="G4" si="0">E4-F4</f>
        <v>186253.75156799998</v>
      </c>
      <c r="H4" s="22">
        <f>+[61]Main!$M$3</f>
        <v>1294.8207339999999</v>
      </c>
      <c r="I4" s="316" t="s">
        <v>668</v>
      </c>
      <c r="J4" s="37">
        <v>45875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5">
      <c r="A5" s="270" t="s">
        <v>252</v>
      </c>
      <c r="B5" s="5" t="s">
        <v>42</v>
      </c>
      <c r="C5" s="10" t="s">
        <v>43</v>
      </c>
      <c r="D5" s="181">
        <v>92.42</v>
      </c>
      <c r="E5" s="22">
        <f>+D5*H5</f>
        <v>196207.66</v>
      </c>
      <c r="F5" s="44">
        <f>+[62]Main!$K$5-[62]Main!$K$6</f>
        <v>17599</v>
      </c>
      <c r="G5" s="44">
        <f>+E5-F5</f>
        <v>178608.66</v>
      </c>
      <c r="H5" s="44">
        <f>+[62]Main!$K$3</f>
        <v>2123</v>
      </c>
      <c r="I5" s="247" t="s">
        <v>653</v>
      </c>
      <c r="J5" s="52">
        <v>45853</v>
      </c>
    </row>
    <row r="6" spans="1:24" s="20" customFormat="1" x14ac:dyDescent="0.25">
      <c r="A6" s="270" t="s">
        <v>252</v>
      </c>
      <c r="B6" s="5" t="s">
        <v>17</v>
      </c>
      <c r="C6" s="20" t="s">
        <v>18</v>
      </c>
      <c r="D6" s="21">
        <v>105.29</v>
      </c>
      <c r="E6" s="22">
        <f>+D6*H6</f>
        <v>257894.69375000001</v>
      </c>
      <c r="F6" s="22" cm="1">
        <f t="array" ref="F6">([63]Main!$O$5-[63]Main!$O$6)/RMB</f>
        <v>121948.96142433234</v>
      </c>
      <c r="G6" s="22">
        <f>+E6-F6</f>
        <v>135945.73232566766</v>
      </c>
      <c r="H6" s="22">
        <f>+[63]Main!$L$3</f>
        <v>2449.375</v>
      </c>
      <c r="I6" s="150" t="s">
        <v>612</v>
      </c>
      <c r="J6" s="52">
        <v>45756</v>
      </c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</row>
    <row r="7" spans="1:24" x14ac:dyDescent="0.25">
      <c r="A7" s="270" t="s">
        <v>252</v>
      </c>
      <c r="B7" s="5" t="s">
        <v>17</v>
      </c>
      <c r="C7" s="159" t="s">
        <v>630</v>
      </c>
      <c r="D7" s="160">
        <v>92</v>
      </c>
      <c r="E7" s="3">
        <f>+D7*H7/HKD</f>
        <v>229654.2587072282</v>
      </c>
      <c r="F7" s="3" cm="1">
        <f t="array" ref="F7">([63]Main!$O$5-[63]Main!$O$6)/RMB</f>
        <v>121948.96142433234</v>
      </c>
      <c r="G7" s="3">
        <f>+E7-F7</f>
        <v>107705.29728289586</v>
      </c>
      <c r="H7" s="44">
        <f>+[63]Main!$O$3</f>
        <v>19595</v>
      </c>
      <c r="I7" s="4" t="s">
        <v>612</v>
      </c>
      <c r="J7" s="52">
        <v>45756</v>
      </c>
    </row>
    <row r="8" spans="1:24" x14ac:dyDescent="0.25">
      <c r="A8" s="270" t="s">
        <v>252</v>
      </c>
      <c r="B8" s="1" t="s">
        <v>28</v>
      </c>
      <c r="C8" s="1" t="s">
        <v>28</v>
      </c>
      <c r="D8" s="2">
        <v>65.180000000000007</v>
      </c>
      <c r="E8" s="3">
        <v>101795</v>
      </c>
    </row>
    <row r="9" spans="1:24" x14ac:dyDescent="0.25">
      <c r="A9" s="270" t="s">
        <v>252</v>
      </c>
      <c r="B9" s="64" t="s">
        <v>253</v>
      </c>
      <c r="C9" s="64" t="s">
        <v>254</v>
      </c>
    </row>
    <row r="10" spans="1:24" x14ac:dyDescent="0.25">
      <c r="A10" s="270" t="s">
        <v>252</v>
      </c>
      <c r="B10" s="11" t="s">
        <v>197</v>
      </c>
      <c r="C10" s="11" t="s">
        <v>198</v>
      </c>
      <c r="D10" s="181">
        <v>119.23</v>
      </c>
    </row>
    <row r="11" spans="1:24" x14ac:dyDescent="0.25">
      <c r="A11" s="270" t="s">
        <v>252</v>
      </c>
      <c r="B11" s="5" t="s">
        <v>34</v>
      </c>
      <c r="C11" s="10" t="s">
        <v>35</v>
      </c>
      <c r="D11" s="10">
        <v>116.42</v>
      </c>
      <c r="E11" s="44">
        <f>+D11*H11</f>
        <v>73714.487644859997</v>
      </c>
      <c r="F11" s="44">
        <f>+[64]Main!$L$5-[64]Main!$L$6</f>
        <v>7643.4470000000001</v>
      </c>
      <c r="G11" s="22">
        <f>E11-F11</f>
        <v>66071.040644859997</v>
      </c>
      <c r="H11" s="44">
        <f>+[64]Main!$L$3</f>
        <v>633.17718300000001</v>
      </c>
      <c r="I11" s="96" t="s">
        <v>347</v>
      </c>
      <c r="J11" s="52">
        <v>44971</v>
      </c>
    </row>
    <row r="12" spans="1:24" x14ac:dyDescent="0.25">
      <c r="A12" s="270" t="s">
        <v>252</v>
      </c>
      <c r="B12" s="11" t="s">
        <v>195</v>
      </c>
      <c r="C12" s="11" t="s">
        <v>196</v>
      </c>
    </row>
    <row r="13" spans="1:24" x14ac:dyDescent="0.25">
      <c r="A13" s="270" t="s">
        <v>252</v>
      </c>
      <c r="B13" s="72" t="s">
        <v>283</v>
      </c>
      <c r="C13" s="72" t="s">
        <v>284</v>
      </c>
    </row>
    <row r="14" spans="1:24" x14ac:dyDescent="0.25">
      <c r="A14" s="270" t="s">
        <v>252</v>
      </c>
      <c r="B14" s="77" t="s">
        <v>301</v>
      </c>
      <c r="C14" s="77" t="s">
        <v>302</v>
      </c>
      <c r="D14" s="181">
        <v>24.43</v>
      </c>
      <c r="E14" s="44">
        <f>+D14*H14</f>
        <v>43946.137438419995</v>
      </c>
      <c r="F14" s="44">
        <f>+[65]Main!$L$5-[65]Main!$L$6</f>
        <v>4606</v>
      </c>
      <c r="G14" s="44">
        <f>+E14-F14</f>
        <v>39340.137438419995</v>
      </c>
      <c r="H14" s="44">
        <f>+[65]Main!$L$3</f>
        <v>1798.8594939999998</v>
      </c>
      <c r="I14" s="272" t="s">
        <v>653</v>
      </c>
      <c r="J14" s="52">
        <v>45712</v>
      </c>
    </row>
    <row r="15" spans="1:24" s="20" customFormat="1" x14ac:dyDescent="0.25">
      <c r="A15" s="270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5">
      <c r="A16" s="270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5" x14ac:dyDescent="0.25">
      <c r="A17" s="270" t="s">
        <v>252</v>
      </c>
      <c r="B17" s="255" t="s">
        <v>673</v>
      </c>
      <c r="C17" s="255" t="s">
        <v>674</v>
      </c>
    </row>
    <row r="18" spans="1:5" x14ac:dyDescent="0.25">
      <c r="A18" s="270" t="s">
        <v>252</v>
      </c>
      <c r="B18" s="278" t="s">
        <v>687</v>
      </c>
      <c r="C18" s="279" t="s">
        <v>688</v>
      </c>
    </row>
    <row r="19" spans="1:5" x14ac:dyDescent="0.25">
      <c r="A19" s="270" t="s">
        <v>252</v>
      </c>
      <c r="B19" s="281" t="s">
        <v>689</v>
      </c>
      <c r="C19" s="281" t="s">
        <v>690</v>
      </c>
    </row>
    <row r="20" spans="1:5" x14ac:dyDescent="0.25">
      <c r="A20" s="270" t="s">
        <v>252</v>
      </c>
      <c r="B20" s="325" t="s">
        <v>716</v>
      </c>
      <c r="C20" s="325" t="s">
        <v>717</v>
      </c>
    </row>
    <row r="21" spans="1:5" x14ac:dyDescent="0.25">
      <c r="A21" s="328" t="s">
        <v>252</v>
      </c>
      <c r="B21" s="329" t="s">
        <v>722</v>
      </c>
      <c r="C21" s="329" t="s">
        <v>723</v>
      </c>
    </row>
    <row r="22" spans="1:5" x14ac:dyDescent="0.25">
      <c r="A22" s="328" t="s">
        <v>252</v>
      </c>
      <c r="B22" s="331" t="s">
        <v>725</v>
      </c>
      <c r="C22" s="331" t="s">
        <v>726</v>
      </c>
    </row>
    <row r="23" spans="1:5" x14ac:dyDescent="0.25">
      <c r="B23" s="5" t="s">
        <v>507</v>
      </c>
      <c r="C23" s="126" t="s">
        <v>508</v>
      </c>
      <c r="D23" s="181">
        <v>305.11</v>
      </c>
    </row>
    <row r="24" spans="1:5" x14ac:dyDescent="0.25">
      <c r="A24" s="77"/>
      <c r="B24" s="77" t="s">
        <v>303</v>
      </c>
      <c r="C24" s="77" t="s">
        <v>304</v>
      </c>
    </row>
    <row r="25" spans="1:5" x14ac:dyDescent="0.25">
      <c r="A25" s="77"/>
      <c r="B25" s="5" t="s">
        <v>738</v>
      </c>
      <c r="C25" s="337" t="s">
        <v>739</v>
      </c>
      <c r="D25" s="181">
        <v>37.72</v>
      </c>
    </row>
    <row r="26" spans="1:5" x14ac:dyDescent="0.25">
      <c r="A26" s="78"/>
      <c r="B26" s="78" t="s">
        <v>307</v>
      </c>
      <c r="C26" s="78" t="s">
        <v>308</v>
      </c>
    </row>
    <row r="27" spans="1:5" x14ac:dyDescent="0.25">
      <c r="A27" s="79"/>
      <c r="B27" s="79" t="s">
        <v>309</v>
      </c>
      <c r="C27" s="79" t="s">
        <v>310</v>
      </c>
    </row>
    <row r="28" spans="1:5" x14ac:dyDescent="0.25">
      <c r="A28" s="270" t="s">
        <v>252</v>
      </c>
      <c r="B28" s="10" t="s">
        <v>157</v>
      </c>
      <c r="C28" s="10" t="s">
        <v>158</v>
      </c>
    </row>
    <row r="29" spans="1:5" x14ac:dyDescent="0.25">
      <c r="A29" s="270" t="s">
        <v>252</v>
      </c>
      <c r="B29" s="1" t="s">
        <v>96</v>
      </c>
      <c r="C29" s="1" t="s">
        <v>97</v>
      </c>
      <c r="D29" s="2">
        <v>2.5099999999999998</v>
      </c>
      <c r="E29" s="3">
        <v>12580</v>
      </c>
    </row>
    <row r="30" spans="1:5" x14ac:dyDescent="0.25">
      <c r="A30" s="319" t="s">
        <v>252</v>
      </c>
      <c r="B30" s="1" t="s">
        <v>710</v>
      </c>
      <c r="C30" s="1" t="s">
        <v>711</v>
      </c>
      <c r="D30" s="2"/>
      <c r="E30" s="3"/>
    </row>
    <row r="31" spans="1:5" x14ac:dyDescent="0.25">
      <c r="B31" s="10" t="s">
        <v>159</v>
      </c>
      <c r="C31" s="10" t="s">
        <v>160</v>
      </c>
    </row>
    <row r="32" spans="1:5" x14ac:dyDescent="0.25">
      <c r="B32" s="5" t="s">
        <v>744</v>
      </c>
      <c r="C32" s="337" t="s">
        <v>745</v>
      </c>
      <c r="D32" s="181">
        <v>65.05</v>
      </c>
    </row>
    <row r="33" spans="1:23" s="20" customFormat="1" x14ac:dyDescent="0.25">
      <c r="B33" s="20" t="s">
        <v>131</v>
      </c>
      <c r="C33" s="20" t="s">
        <v>132</v>
      </c>
      <c r="D33" s="21">
        <v>17.63</v>
      </c>
      <c r="E33" s="22">
        <v>6480</v>
      </c>
      <c r="F33" s="23"/>
      <c r="G33" s="23"/>
      <c r="H33" s="23"/>
      <c r="I33" s="23"/>
      <c r="J33" s="23"/>
      <c r="K33" s="24"/>
      <c r="L33" s="24"/>
      <c r="M33" s="24"/>
      <c r="N33" s="24"/>
      <c r="O33" s="24"/>
      <c r="P33" s="25"/>
      <c r="Q33" s="24"/>
      <c r="R33" s="24"/>
      <c r="S33" s="26"/>
      <c r="T33" s="25"/>
      <c r="U33" s="24"/>
      <c r="V33" s="24"/>
      <c r="W33" s="26"/>
    </row>
    <row r="34" spans="1:23" x14ac:dyDescent="0.25">
      <c r="B34" s="5" t="s">
        <v>375</v>
      </c>
      <c r="C34" s="93" t="s">
        <v>376</v>
      </c>
      <c r="D34" s="10">
        <v>8.86</v>
      </c>
      <c r="E34" s="44">
        <f>+D34*H34</f>
        <v>963.51364147999993</v>
      </c>
      <c r="F34" s="44">
        <f>+[66]Main!$K$5-[66]Main!$K$6</f>
        <v>-1163.2909999999999</v>
      </c>
      <c r="G34" s="44">
        <f>+E34-F34</f>
        <v>2126.8046414800001</v>
      </c>
      <c r="H34" s="44">
        <f>+[66]Main!$K$3</f>
        <v>108.748718</v>
      </c>
      <c r="I34" s="95" t="s">
        <v>347</v>
      </c>
      <c r="J34" s="52">
        <v>44965</v>
      </c>
    </row>
    <row r="35" spans="1:23" x14ac:dyDescent="0.25">
      <c r="B35" s="5" t="s">
        <v>626</v>
      </c>
      <c r="C35" s="148" t="s">
        <v>627</v>
      </c>
      <c r="D35" s="10">
        <v>1.77</v>
      </c>
      <c r="E35" s="44">
        <f>+D35*H35</f>
        <v>183.49568582999999</v>
      </c>
      <c r="F35" s="44">
        <f>+[67]Main!$K$5-[67]Main!$K$6</f>
        <v>4.47199999999998</v>
      </c>
      <c r="G35" s="44">
        <f>+E35-F35</f>
        <v>179.02368583000001</v>
      </c>
      <c r="H35" s="44">
        <f>+[67]Main!$K$3</f>
        <v>103.66987899999999</v>
      </c>
      <c r="I35" s="192" t="s">
        <v>612</v>
      </c>
      <c r="J35" s="52">
        <v>45556</v>
      </c>
    </row>
    <row r="36" spans="1:23" ht="14.5" x14ac:dyDescent="0.35">
      <c r="B36" s="341" t="s">
        <v>377</v>
      </c>
      <c r="C36" s="337" t="s">
        <v>743</v>
      </c>
      <c r="D36" s="10">
        <v>2.77</v>
      </c>
      <c r="E36" s="44"/>
      <c r="F36" s="44"/>
      <c r="G36" s="44"/>
    </row>
    <row r="37" spans="1:23" x14ac:dyDescent="0.25">
      <c r="B37" s="5" t="s">
        <v>645</v>
      </c>
      <c r="C37" s="195" t="s">
        <v>646</v>
      </c>
      <c r="D37" s="10">
        <v>1.02</v>
      </c>
      <c r="E37" s="44">
        <f>+D37*H37</f>
        <v>114.86102394</v>
      </c>
      <c r="F37" s="44">
        <f>+[68]Main!$J$5-[68]Main!$J$6</f>
        <v>69.837999999999994</v>
      </c>
      <c r="G37" s="44">
        <f>+E37-F37</f>
        <v>45.023023940000002</v>
      </c>
      <c r="H37" s="44">
        <f>+[68]Main!$J$3</f>
        <v>112.608847</v>
      </c>
      <c r="I37" s="196" t="s">
        <v>612</v>
      </c>
      <c r="J37" s="52">
        <v>45583</v>
      </c>
    </row>
    <row r="38" spans="1:23" x14ac:dyDescent="0.25">
      <c r="B38" s="129" t="s">
        <v>550</v>
      </c>
      <c r="C38" s="129" t="s">
        <v>551</v>
      </c>
    </row>
    <row r="39" spans="1:23" x14ac:dyDescent="0.25">
      <c r="A39" s="270" t="s">
        <v>252</v>
      </c>
      <c r="B39" s="255" t="s">
        <v>675</v>
      </c>
      <c r="C39" s="255" t="s">
        <v>676</v>
      </c>
    </row>
    <row r="40" spans="1:23" x14ac:dyDescent="0.25">
      <c r="A40" s="335" t="s">
        <v>252</v>
      </c>
      <c r="B40" s="336" t="s">
        <v>732</v>
      </c>
      <c r="C40" s="336" t="s">
        <v>733</v>
      </c>
    </row>
    <row r="41" spans="1:23" x14ac:dyDescent="0.25">
      <c r="B41" s="129" t="s">
        <v>558</v>
      </c>
      <c r="C41" s="129" t="s">
        <v>559</v>
      </c>
    </row>
    <row r="42" spans="1:23" x14ac:dyDescent="0.25">
      <c r="B42" s="130" t="s">
        <v>611</v>
      </c>
      <c r="C42" s="130" t="s">
        <v>610</v>
      </c>
    </row>
    <row r="43" spans="1:23" x14ac:dyDescent="0.25">
      <c r="B43" s="337" t="s">
        <v>740</v>
      </c>
      <c r="C43" s="337" t="s">
        <v>741</v>
      </c>
      <c r="D43" s="10">
        <v>27.72</v>
      </c>
    </row>
    <row r="44" spans="1:23" x14ac:dyDescent="0.25">
      <c r="B44" s="5" t="s">
        <v>643</v>
      </c>
      <c r="C44" s="193" t="s">
        <v>644</v>
      </c>
      <c r="D44" s="181">
        <v>41.16</v>
      </c>
    </row>
    <row r="46" spans="1:23" x14ac:dyDescent="0.25">
      <c r="B46" s="1" t="s">
        <v>115</v>
      </c>
      <c r="C46" s="1"/>
      <c r="D46" s="2"/>
      <c r="E46" s="3">
        <v>8333</v>
      </c>
    </row>
    <row r="47" spans="1:23" x14ac:dyDescent="0.25">
      <c r="B47" s="20" t="s">
        <v>63</v>
      </c>
      <c r="C47" s="20"/>
      <c r="D47" s="21"/>
      <c r="E47" s="22">
        <v>22000</v>
      </c>
    </row>
    <row r="48" spans="1:23" x14ac:dyDescent="0.25">
      <c r="B48" s="20" t="s">
        <v>55</v>
      </c>
      <c r="C48" s="20"/>
      <c r="D48" s="21"/>
      <c r="E48" s="22">
        <v>30000</v>
      </c>
    </row>
    <row r="49" spans="2:12" x14ac:dyDescent="0.25">
      <c r="B49" s="121" t="s">
        <v>448</v>
      </c>
      <c r="L49" s="121" t="s">
        <v>449</v>
      </c>
    </row>
  </sheetData>
  <hyperlinks>
    <hyperlink ref="A1" location="Main!A1" display="Main" xr:uid="{5E6A4119-6CB3-4DE8-85D8-71624588AB5F}"/>
    <hyperlink ref="B7" r:id="rId1" xr:uid="{1DBE1AD0-E144-4B11-A369-C38208461D50}"/>
    <hyperlink ref="B3" r:id="rId2" xr:uid="{9E979F32-3FB9-4155-8C38-6368365757C8}"/>
    <hyperlink ref="B4" r:id="rId3" xr:uid="{7B3BF246-9F57-4E65-999A-345E6DC43A15}"/>
    <hyperlink ref="B6" r:id="rId4" xr:uid="{EBAD1208-6B7E-4686-85C8-90DFDB7B9D36}"/>
    <hyperlink ref="B11" r:id="rId5" xr:uid="{0E4A8717-CB7F-480C-A1D1-B315F728D1CA}"/>
    <hyperlink ref="B34" r:id="rId6" xr:uid="{E112D5EE-DF74-4C8E-8A8A-40FA1E1DA6A2}"/>
    <hyperlink ref="B35" r:id="rId7" xr:uid="{803C9F9C-5FB9-4D21-9B63-E7586C7DD545}"/>
    <hyperlink ref="B44" r:id="rId8" xr:uid="{B9AD6732-3E45-4F0C-8171-C60C9015033B}"/>
    <hyperlink ref="B37" r:id="rId9" xr:uid="{B9878397-9C9E-4F92-A581-0B74CE163EA7}"/>
    <hyperlink ref="B5" r:id="rId10" xr:uid="{F5EB23D2-9CA1-4670-BCFD-EEE188C17DBB}"/>
    <hyperlink ref="B16" r:id="rId11" xr:uid="{4A2120E9-733C-4D1E-9693-EC5B041CD1E7}"/>
    <hyperlink ref="B23" r:id="rId12" xr:uid="{2943BC17-0591-47D9-B151-044F78DA9153}"/>
    <hyperlink ref="B25" r:id="rId13" xr:uid="{22FB579D-1F2E-407F-BEE3-23755616C2A7}"/>
    <hyperlink ref="B36" r:id="rId14" xr:uid="{1213A72C-C386-4DF4-98C7-FCAE90418CC4}"/>
    <hyperlink ref="B32" r:id="rId15" xr:uid="{FC0D5A30-0015-4D0C-A208-3EF736C64E5F}"/>
  </hyperlinks>
  <pageMargins left="0.7" right="0.7" top="0.75" bottom="0.75" header="0.3" footer="0.3"/>
  <pageSetup orientation="portrait" r:id="rId1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AD23"/>
  <sheetViews>
    <sheetView zoomScale="190" zoomScaleNormal="190" workbookViewId="0">
      <pane xSplit="2" ySplit="2" topLeftCell="C12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" style="284" bestFit="1" customWidth="1"/>
    <col min="2" max="2" width="17" style="284" bestFit="1" customWidth="1"/>
    <col min="3" max="9" width="9.1796875" style="284"/>
    <col min="10" max="10" width="9.1796875" style="285"/>
    <col min="11" max="24" width="9.1796875" style="284"/>
    <col min="25" max="27" width="9.1796875" style="297"/>
    <col min="28" max="30" width="9.1796875" style="285"/>
    <col min="31" max="16384" width="9.1796875" style="284"/>
  </cols>
  <sheetData>
    <row r="1" spans="1:30" x14ac:dyDescent="0.25">
      <c r="A1" s="5" t="s">
        <v>142</v>
      </c>
    </row>
    <row r="2" spans="1:30" x14ac:dyDescent="0.25">
      <c r="B2" s="286" t="s">
        <v>0</v>
      </c>
      <c r="C2" s="287" t="s">
        <v>1</v>
      </c>
      <c r="D2" s="288" t="s">
        <v>2</v>
      </c>
      <c r="E2" s="289" t="s">
        <v>3</v>
      </c>
      <c r="F2" s="290" t="s">
        <v>4</v>
      </c>
      <c r="G2" s="290" t="s">
        <v>5</v>
      </c>
      <c r="H2" s="290" t="s">
        <v>212</v>
      </c>
      <c r="I2" s="290" t="s">
        <v>6</v>
      </c>
      <c r="J2" s="290" t="s">
        <v>223</v>
      </c>
      <c r="K2" s="291" t="s">
        <v>207</v>
      </c>
      <c r="L2" s="291" t="s">
        <v>211</v>
      </c>
      <c r="M2" s="291" t="s">
        <v>208</v>
      </c>
      <c r="N2" s="291" t="s">
        <v>209</v>
      </c>
      <c r="O2" s="292" t="s">
        <v>210</v>
      </c>
      <c r="P2" s="293" t="s">
        <v>228</v>
      </c>
      <c r="Q2" s="294" t="s">
        <v>229</v>
      </c>
      <c r="R2" s="294" t="s">
        <v>230</v>
      </c>
      <c r="S2" s="292">
        <v>2025</v>
      </c>
      <c r="T2" s="293" t="s">
        <v>227</v>
      </c>
      <c r="U2" s="291">
        <v>2023</v>
      </c>
      <c r="V2" s="291">
        <v>2024</v>
      </c>
      <c r="W2" s="292">
        <v>2025</v>
      </c>
      <c r="X2" s="284" t="s">
        <v>213</v>
      </c>
      <c r="Y2" s="306" t="s">
        <v>701</v>
      </c>
      <c r="Z2" s="306" t="s">
        <v>702</v>
      </c>
      <c r="AA2" s="306" t="s">
        <v>703</v>
      </c>
      <c r="AB2" s="305" t="s">
        <v>704</v>
      </c>
      <c r="AC2" s="305" t="s">
        <v>705</v>
      </c>
      <c r="AD2" s="305" t="s">
        <v>706</v>
      </c>
    </row>
    <row r="3" spans="1:30" s="50" customFormat="1" ht="13" x14ac:dyDescent="0.3">
      <c r="B3" s="50" t="s">
        <v>707</v>
      </c>
      <c r="D3" s="308"/>
      <c r="E3" s="309"/>
      <c r="F3" s="310"/>
      <c r="G3" s="310"/>
      <c r="H3" s="310"/>
      <c r="I3" s="310"/>
      <c r="J3" s="310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Y3" s="309"/>
      <c r="Z3" s="309"/>
      <c r="AA3" s="309"/>
      <c r="AB3" s="312">
        <f>AVERAGE(AB4:AB21)</f>
        <v>14.234379720025654</v>
      </c>
      <c r="AC3" s="312">
        <f>AVERAGE(AC4:AC21)</f>
        <v>11.880419803115229</v>
      </c>
      <c r="AD3" s="312">
        <f>AVERAGE(AD4:AD21)</f>
        <v>9.8948530840896094</v>
      </c>
    </row>
    <row r="4" spans="1:30" x14ac:dyDescent="0.25">
      <c r="A4" s="295" t="s">
        <v>252</v>
      </c>
      <c r="B4" s="284" t="s">
        <v>151</v>
      </c>
      <c r="C4" s="284" t="s">
        <v>152</v>
      </c>
      <c r="D4" s="300">
        <v>169.6</v>
      </c>
      <c r="E4" s="298">
        <v>112279</v>
      </c>
      <c r="F4" s="298">
        <v>0</v>
      </c>
      <c r="G4" s="298">
        <f t="shared" ref="G4:G11" si="0">+E4-F4</f>
        <v>112279</v>
      </c>
      <c r="Y4" s="297">
        <v>8480</v>
      </c>
      <c r="Z4" s="297">
        <v>9710</v>
      </c>
      <c r="AA4" s="297">
        <v>11080</v>
      </c>
      <c r="AB4" s="307">
        <f t="shared" ref="AB4:AD9" si="1">$G4/Y4</f>
        <v>13.240448113207547</v>
      </c>
      <c r="AC4" s="307">
        <f t="shared" si="1"/>
        <v>11.563233779608652</v>
      </c>
      <c r="AD4" s="307">
        <f t="shared" si="1"/>
        <v>10.133483754512635</v>
      </c>
    </row>
    <row r="5" spans="1:30" x14ac:dyDescent="0.25">
      <c r="A5" s="295" t="s">
        <v>252</v>
      </c>
      <c r="B5" s="284" t="s">
        <v>290</v>
      </c>
      <c r="C5" s="284" t="s">
        <v>291</v>
      </c>
      <c r="D5" s="300">
        <v>77.58</v>
      </c>
      <c r="E5" s="298">
        <v>97863</v>
      </c>
      <c r="F5" s="298">
        <v>0</v>
      </c>
      <c r="G5" s="298">
        <f t="shared" si="0"/>
        <v>97863</v>
      </c>
      <c r="Y5" s="297">
        <v>7000</v>
      </c>
      <c r="Z5" s="297">
        <v>8350</v>
      </c>
      <c r="AA5" s="297">
        <v>9920</v>
      </c>
      <c r="AB5" s="307">
        <f t="shared" si="1"/>
        <v>13.980428571428572</v>
      </c>
      <c r="AC5" s="307">
        <f t="shared" si="1"/>
        <v>11.720119760479042</v>
      </c>
      <c r="AD5" s="307">
        <f t="shared" si="1"/>
        <v>9.8652217741935484</v>
      </c>
    </row>
    <row r="6" spans="1:30" x14ac:dyDescent="0.25">
      <c r="A6" s="295" t="s">
        <v>252</v>
      </c>
      <c r="B6" s="5" t="s">
        <v>153</v>
      </c>
      <c r="C6" s="284" t="s">
        <v>154</v>
      </c>
      <c r="D6" s="300">
        <v>360</v>
      </c>
      <c r="E6" s="298">
        <f>+D6*H6</f>
        <v>89234.429399999994</v>
      </c>
      <c r="F6" s="298">
        <f>+[69]Main!$I$5-[69]Main!$I$6</f>
        <v>3651.8559999999998</v>
      </c>
      <c r="G6" s="298">
        <f t="shared" si="0"/>
        <v>85582.573399999994</v>
      </c>
      <c r="H6" s="298">
        <f>+[69]Main!$I$3</f>
        <v>247.87341499999999</v>
      </c>
      <c r="I6" s="305" t="s">
        <v>668</v>
      </c>
      <c r="J6" s="299">
        <v>45748</v>
      </c>
      <c r="Y6" s="297">
        <v>3880</v>
      </c>
      <c r="Z6" s="297">
        <v>4710</v>
      </c>
      <c r="AA6" s="297">
        <v>5710</v>
      </c>
      <c r="AB6" s="307">
        <f t="shared" si="1"/>
        <v>22.057364278350512</v>
      </c>
      <c r="AC6" s="307">
        <f t="shared" si="1"/>
        <v>18.170397749469213</v>
      </c>
      <c r="AD6" s="307">
        <f t="shared" si="1"/>
        <v>14.988191488616462</v>
      </c>
    </row>
    <row r="7" spans="1:30" x14ac:dyDescent="0.25">
      <c r="A7" s="295" t="s">
        <v>252</v>
      </c>
      <c r="B7" s="284" t="s">
        <v>156</v>
      </c>
      <c r="C7" s="284" t="s">
        <v>155</v>
      </c>
      <c r="D7" s="284">
        <v>95.85</v>
      </c>
      <c r="E7" s="298">
        <v>73737</v>
      </c>
      <c r="F7" s="284">
        <v>0</v>
      </c>
      <c r="G7" s="298">
        <f t="shared" si="0"/>
        <v>73737</v>
      </c>
      <c r="Y7" s="297">
        <v>5960</v>
      </c>
      <c r="Z7" s="297">
        <v>6780</v>
      </c>
      <c r="AA7" s="297">
        <v>7630</v>
      </c>
      <c r="AB7" s="307">
        <f t="shared" si="1"/>
        <v>12.371979865771813</v>
      </c>
      <c r="AC7" s="307">
        <f t="shared" si="1"/>
        <v>10.875663716814159</v>
      </c>
      <c r="AD7" s="307">
        <f t="shared" si="1"/>
        <v>9.6640891218872866</v>
      </c>
    </row>
    <row r="8" spans="1:30" ht="13" x14ac:dyDescent="0.3">
      <c r="A8" s="295" t="s">
        <v>252</v>
      </c>
      <c r="B8" s="5" t="s">
        <v>188</v>
      </c>
      <c r="C8" s="284" t="s">
        <v>189</v>
      </c>
      <c r="D8" s="300">
        <v>147</v>
      </c>
      <c r="E8" s="298">
        <f>+D8*H8</f>
        <v>50230.301897999998</v>
      </c>
      <c r="F8" s="298">
        <f>+[70]Main!$N$5-[70]Main!$N$6</f>
        <v>472.05500000000006</v>
      </c>
      <c r="G8" s="298">
        <f t="shared" si="0"/>
        <v>49758.246897999998</v>
      </c>
      <c r="H8" s="298">
        <f>+[70]Main!$N$3</f>
        <v>341.70273399999996</v>
      </c>
      <c r="I8" s="285" t="s">
        <v>612</v>
      </c>
      <c r="J8" s="299">
        <v>45561</v>
      </c>
      <c r="Y8" s="297">
        <v>1670</v>
      </c>
      <c r="Z8" s="297">
        <v>2100</v>
      </c>
      <c r="AA8" s="297">
        <v>2660</v>
      </c>
      <c r="AB8" s="307">
        <f t="shared" si="1"/>
        <v>29.795357423952094</v>
      </c>
      <c r="AC8" s="312">
        <f t="shared" si="1"/>
        <v>23.694403284761904</v>
      </c>
      <c r="AD8" s="307">
        <f t="shared" si="1"/>
        <v>18.706107856390975</v>
      </c>
    </row>
    <row r="9" spans="1:30" x14ac:dyDescent="0.25">
      <c r="A9" s="295" t="s">
        <v>252</v>
      </c>
      <c r="B9" s="5" t="s">
        <v>180</v>
      </c>
      <c r="C9" s="284" t="s">
        <v>181</v>
      </c>
      <c r="D9" s="296">
        <v>215</v>
      </c>
      <c r="E9" s="297">
        <f>+D9*H9</f>
        <v>32989.303945</v>
      </c>
      <c r="F9" s="298">
        <f>+[71]Main!$K$5-[71]Main!$K$6</f>
        <v>1162.098</v>
      </c>
      <c r="G9" s="298">
        <f t="shared" si="0"/>
        <v>31827.205945000002</v>
      </c>
      <c r="H9" s="298">
        <f>[71]Main!$K$3</f>
        <v>153.43862300000001</v>
      </c>
      <c r="I9" s="285" t="s">
        <v>653</v>
      </c>
      <c r="J9" s="299">
        <v>45702</v>
      </c>
      <c r="Y9" s="297">
        <v>2380</v>
      </c>
      <c r="Z9" s="297">
        <v>2860</v>
      </c>
      <c r="AA9" s="297">
        <v>3440</v>
      </c>
      <c r="AB9" s="307">
        <f t="shared" si="1"/>
        <v>13.372775607142858</v>
      </c>
      <c r="AC9" s="307">
        <f t="shared" si="1"/>
        <v>11.128393687062937</v>
      </c>
      <c r="AD9" s="307">
        <f t="shared" si="1"/>
        <v>9.2520947514534893</v>
      </c>
    </row>
    <row r="10" spans="1:30" x14ac:dyDescent="0.25">
      <c r="A10" s="295" t="s">
        <v>252</v>
      </c>
      <c r="B10" s="284" t="s">
        <v>80</v>
      </c>
      <c r="C10" s="284" t="s">
        <v>81</v>
      </c>
      <c r="D10" s="296">
        <v>229.05</v>
      </c>
      <c r="E10" s="297">
        <v>24821</v>
      </c>
      <c r="F10" s="285">
        <v>0</v>
      </c>
      <c r="G10" s="298">
        <f t="shared" si="0"/>
        <v>24821</v>
      </c>
      <c r="H10" s="285"/>
    </row>
    <row r="11" spans="1:30" x14ac:dyDescent="0.25">
      <c r="B11" s="5" t="s">
        <v>192</v>
      </c>
      <c r="C11" s="284" t="s">
        <v>193</v>
      </c>
      <c r="D11" s="300">
        <v>82.09</v>
      </c>
      <c r="E11" s="298">
        <f>+D11*H11</f>
        <v>12339.566530239999</v>
      </c>
      <c r="F11" s="298">
        <f>+[23]Main!$K$5-[23]Main!$K$6</f>
        <v>-1673.636</v>
      </c>
      <c r="G11" s="298">
        <f t="shared" si="0"/>
        <v>14013.20253024</v>
      </c>
      <c r="H11" s="298">
        <f>+[23]Main!$K$3</f>
        <v>150.31753599999999</v>
      </c>
      <c r="I11" s="285" t="s">
        <v>668</v>
      </c>
      <c r="J11" s="299">
        <v>45719</v>
      </c>
      <c r="Y11" s="297">
        <v>3990</v>
      </c>
      <c r="Z11" s="297">
        <v>4120</v>
      </c>
      <c r="AA11" s="297">
        <v>4350</v>
      </c>
      <c r="AB11" s="307">
        <f>$G11/Y11</f>
        <v>3.5120808346466164</v>
      </c>
      <c r="AC11" s="307">
        <f>$G11/Z11</f>
        <v>3.4012627500582524</v>
      </c>
      <c r="AD11" s="307">
        <f>$G11/AA11</f>
        <v>3.2214258690206896</v>
      </c>
    </row>
    <row r="12" spans="1:30" x14ac:dyDescent="0.25">
      <c r="A12" s="284" t="s">
        <v>252</v>
      </c>
      <c r="B12" s="284" t="s">
        <v>430</v>
      </c>
      <c r="C12" s="284" t="s">
        <v>431</v>
      </c>
    </row>
    <row r="13" spans="1:30" x14ac:dyDescent="0.25">
      <c r="A13" s="284" t="s">
        <v>252</v>
      </c>
      <c r="B13" s="284" t="s">
        <v>94</v>
      </c>
      <c r="C13" s="284" t="s">
        <v>95</v>
      </c>
    </row>
    <row r="14" spans="1:30" x14ac:dyDescent="0.25">
      <c r="A14" s="284" t="s">
        <v>252</v>
      </c>
      <c r="B14" s="284" t="s">
        <v>501</v>
      </c>
      <c r="C14" s="284" t="s">
        <v>502</v>
      </c>
    </row>
    <row r="15" spans="1:30" x14ac:dyDescent="0.25">
      <c r="A15" s="284" t="s">
        <v>252</v>
      </c>
      <c r="B15" s="284" t="s">
        <v>530</v>
      </c>
      <c r="C15" s="284" t="s">
        <v>531</v>
      </c>
    </row>
    <row r="16" spans="1:30" x14ac:dyDescent="0.25">
      <c r="A16" s="284" t="s">
        <v>252</v>
      </c>
      <c r="B16" s="5" t="s">
        <v>536</v>
      </c>
      <c r="C16" s="284" t="s">
        <v>537</v>
      </c>
      <c r="D16" s="300">
        <v>17.7</v>
      </c>
      <c r="E16" s="298">
        <f>+D16*H16</f>
        <v>5583.6024758999993</v>
      </c>
      <c r="F16" s="298">
        <f>+[72]Main!$J$5-[72]Main!$J$6</f>
        <v>1123.8009999999999</v>
      </c>
      <c r="G16" s="298">
        <f>+E16-F16</f>
        <v>4459.8014758999998</v>
      </c>
      <c r="H16" s="298">
        <f>+[72]Main!$J$3</f>
        <v>315.45776699999999</v>
      </c>
      <c r="I16" s="305" t="s">
        <v>653</v>
      </c>
      <c r="J16" s="299">
        <v>45748</v>
      </c>
      <c r="Y16" s="297">
        <v>804.35</v>
      </c>
      <c r="Z16" s="297">
        <v>993.3</v>
      </c>
      <c r="AA16" s="297">
        <v>1340</v>
      </c>
      <c r="AB16" s="307">
        <f>$G16/Y16</f>
        <v>5.5446030657052274</v>
      </c>
      <c r="AC16" s="307">
        <f>$G16/Z16</f>
        <v>4.4898836966676736</v>
      </c>
      <c r="AD16" s="307">
        <f>$G16/AA16</f>
        <v>3.3282100566417907</v>
      </c>
    </row>
    <row r="17" spans="1:5" x14ac:dyDescent="0.25">
      <c r="A17" s="284" t="s">
        <v>252</v>
      </c>
      <c r="B17" s="284" t="s">
        <v>554</v>
      </c>
      <c r="C17" s="284" t="s">
        <v>555</v>
      </c>
    </row>
    <row r="18" spans="1:5" x14ac:dyDescent="0.25">
      <c r="A18" s="284" t="s">
        <v>252</v>
      </c>
      <c r="B18" s="284" t="s">
        <v>568</v>
      </c>
      <c r="C18" s="284" t="s">
        <v>569</v>
      </c>
    </row>
    <row r="19" spans="1:5" x14ac:dyDescent="0.25">
      <c r="A19" s="284" t="s">
        <v>252</v>
      </c>
      <c r="B19" s="284" t="s">
        <v>598</v>
      </c>
      <c r="C19" s="284" t="s">
        <v>599</v>
      </c>
    </row>
    <row r="20" spans="1:5" x14ac:dyDescent="0.25">
      <c r="B20" s="284" t="s">
        <v>693</v>
      </c>
      <c r="C20" s="284" t="s">
        <v>694</v>
      </c>
      <c r="D20" s="300"/>
    </row>
    <row r="21" spans="1:5" x14ac:dyDescent="0.25">
      <c r="B21" s="337" t="s">
        <v>734</v>
      </c>
      <c r="C21" s="337" t="s">
        <v>735</v>
      </c>
    </row>
    <row r="23" spans="1:5" x14ac:dyDescent="0.25">
      <c r="B23" s="284" t="s">
        <v>654</v>
      </c>
      <c r="C23" s="284" t="s">
        <v>247</v>
      </c>
      <c r="E23" s="284">
        <v>3000</v>
      </c>
    </row>
  </sheetData>
  <hyperlinks>
    <hyperlink ref="A1" location="Main!A1" display="Main" xr:uid="{8911E9A3-ACF0-4B55-98BB-1EFB77BE02DE}"/>
    <hyperlink ref="B8" r:id="rId1" xr:uid="{E631AFBD-2204-44CC-85D1-53FBF27BF681}"/>
    <hyperlink ref="B9" r:id="rId2" xr:uid="{4C039C03-34B6-4015-817A-2A7270682FB5}"/>
    <hyperlink ref="B11" r:id="rId3" xr:uid="{8401614B-19A8-4528-B8D8-58C3F54EB3EF}"/>
    <hyperlink ref="B16" r:id="rId4" xr:uid="{070FAAA3-FA1B-4848-B680-259620166328}"/>
    <hyperlink ref="B6" r:id="rId5" xr:uid="{354B4C14-8118-448B-A9FB-6926D1E66B50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206</v>
      </c>
      <c r="C4" s="38">
        <v>1.01</v>
      </c>
    </row>
    <row r="5" spans="1:3" x14ac:dyDescent="0.25">
      <c r="B5" s="38" t="s">
        <v>224</v>
      </c>
      <c r="C5" s="199">
        <v>10.54</v>
      </c>
    </row>
    <row r="6" spans="1:3" x14ac:dyDescent="0.25">
      <c r="B6" s="39" t="s">
        <v>232</v>
      </c>
      <c r="C6" s="38">
        <v>136.93</v>
      </c>
    </row>
    <row r="7" spans="1:3" x14ac:dyDescent="0.25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5">
      <c r="B3" s="8" t="s">
        <v>33</v>
      </c>
      <c r="C3" s="7">
        <v>100000</v>
      </c>
      <c r="D3" s="12" t="s">
        <v>203</v>
      </c>
    </row>
    <row r="4" spans="1:7" x14ac:dyDescent="0.25">
      <c r="B4" s="6" t="s">
        <v>86</v>
      </c>
      <c r="C4" s="7">
        <v>15000</v>
      </c>
      <c r="D4" s="12" t="s">
        <v>203</v>
      </c>
    </row>
    <row r="5" spans="1:7" x14ac:dyDescent="0.25">
      <c r="B5" s="6" t="s">
        <v>120</v>
      </c>
      <c r="C5" s="7">
        <v>8000</v>
      </c>
      <c r="D5" s="12" t="s">
        <v>204</v>
      </c>
    </row>
    <row r="6" spans="1:7" x14ac:dyDescent="0.25">
      <c r="B6" s="6" t="s">
        <v>140</v>
      </c>
      <c r="D6" s="12" t="s">
        <v>205</v>
      </c>
    </row>
    <row r="7" spans="1:7" x14ac:dyDescent="0.25">
      <c r="B7" s="6" t="s">
        <v>141</v>
      </c>
      <c r="D7" s="12" t="s">
        <v>205</v>
      </c>
    </row>
    <row r="8" spans="1:7" x14ac:dyDescent="0.25">
      <c r="B8" s="12" t="s">
        <v>200</v>
      </c>
      <c r="D8" s="12" t="s">
        <v>201</v>
      </c>
    </row>
    <row r="9" spans="1:7" x14ac:dyDescent="0.25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5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5">
      <c r="B11" s="103" t="s">
        <v>387</v>
      </c>
      <c r="D11" s="103" t="s">
        <v>388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2025-08-12T18:07:22Z</dcterms:modified>
  <cp:category/>
  <cp:contentStatus/>
</cp:coreProperties>
</file>