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andyeske/Desktop/Spring 2024/Energy Conversion/"/>
    </mc:Choice>
  </mc:AlternateContent>
  <xr:revisionPtr revIDLastSave="0" documentId="13_ncr:1_{B994DA7E-B87F-2344-BA77-BABBD0A540FA}" xr6:coauthVersionLast="47" xr6:coauthVersionMax="47" xr10:uidLastSave="{00000000-0000-0000-0000-000000000000}"/>
  <bookViews>
    <workbookView xWindow="0" yWindow="760" windowWidth="26740" windowHeight="17200" activeTab="3" xr2:uid="{84D45F3E-F1F9-B24F-B4D1-8B97326F6E7B}"/>
  </bookViews>
  <sheets>
    <sheet name="Summary" sheetId="5" r:id="rId1"/>
    <sheet name="Corn Data" sheetId="1" r:id="rId2"/>
    <sheet name="Energy Crops Data" sheetId="2" r:id="rId3"/>
    <sheet name="Conversion Factors Data" sheetId="3" r:id="rId4"/>
  </sheets>
  <calcPr calcId="191029" calcMode="manual" iterate="1" iterateDelta="1.0000000000000001E-5" concurrentManualCount="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5" l="1"/>
  <c r="C22" i="5"/>
  <c r="B18" i="5"/>
  <c r="D18" i="5"/>
  <c r="C18" i="5"/>
  <c r="G18" i="5" s="1"/>
  <c r="P42" i="3"/>
  <c r="P41" i="3"/>
  <c r="P40" i="3"/>
  <c r="P39" i="3"/>
  <c r="C24" i="5"/>
  <c r="O41" i="3"/>
  <c r="O42" i="3"/>
  <c r="O40" i="3"/>
  <c r="O39" i="3"/>
  <c r="K35" i="5"/>
  <c r="K34" i="5"/>
  <c r="K29" i="5"/>
  <c r="K28" i="5"/>
  <c r="G35" i="5"/>
  <c r="G34" i="5"/>
  <c r="G29" i="5"/>
  <c r="G28" i="5"/>
  <c r="K17" i="5"/>
  <c r="G17" i="5"/>
  <c r="K16" i="5"/>
  <c r="G16" i="5"/>
  <c r="C35" i="5"/>
  <c r="C33" i="5"/>
  <c r="C31" i="5"/>
  <c r="C29" i="5"/>
  <c r="K18" i="5" l="1"/>
  <c r="K12" i="5"/>
  <c r="G12" i="5"/>
  <c r="C14" i="5"/>
  <c r="C12" i="5"/>
  <c r="C25" i="5"/>
  <c r="N36" i="3" l="1"/>
  <c r="O36" i="3" s="1"/>
  <c r="O34" i="3"/>
  <c r="C30" i="5" s="1"/>
  <c r="O35" i="3"/>
  <c r="C32" i="5" s="1"/>
  <c r="O33" i="3"/>
  <c r="C13" i="5"/>
  <c r="C21" i="5"/>
  <c r="C20" i="5"/>
  <c r="D17" i="5"/>
  <c r="C17" i="5"/>
  <c r="B17" i="5"/>
  <c r="D16" i="5"/>
  <c r="C16" i="5"/>
  <c r="B16" i="5"/>
  <c r="K11" i="5"/>
  <c r="G11" i="5"/>
  <c r="C11" i="5"/>
  <c r="K3" i="5"/>
  <c r="K4" i="5" s="1"/>
  <c r="L3" i="5"/>
  <c r="L4" i="5" s="1"/>
  <c r="J3" i="5"/>
  <c r="J4" i="5" s="1"/>
  <c r="H3" i="5"/>
  <c r="H4" i="5" s="1"/>
  <c r="G3" i="5"/>
  <c r="G4" i="5" s="1"/>
  <c r="F3" i="5"/>
  <c r="F4" i="5" s="1"/>
  <c r="D9" i="5"/>
  <c r="D8" i="5"/>
  <c r="C9" i="5"/>
  <c r="C8" i="5"/>
  <c r="B9" i="5"/>
  <c r="B8" i="5"/>
  <c r="B7" i="5"/>
  <c r="D7" i="5"/>
  <c r="C7" i="5"/>
  <c r="D6" i="5"/>
  <c r="C6" i="5"/>
  <c r="B6" i="5"/>
  <c r="D5" i="5"/>
  <c r="C5" i="5"/>
  <c r="B5" i="5"/>
  <c r="G37" i="1"/>
  <c r="D3" i="5"/>
  <c r="D4" i="5" s="1"/>
  <c r="C3" i="5"/>
  <c r="C4" i="5" s="1"/>
  <c r="B3" i="5"/>
  <c r="B4" i="5" s="1"/>
  <c r="Q16" i="3"/>
  <c r="Q15" i="3"/>
  <c r="B33" i="3"/>
  <c r="B27" i="3"/>
  <c r="B25" i="3"/>
  <c r="P14" i="3"/>
  <c r="P13" i="3"/>
  <c r="P12" i="3"/>
  <c r="O11" i="3"/>
  <c r="O10" i="3"/>
  <c r="C34" i="5" l="1"/>
  <c r="C28" i="5"/>
  <c r="D60" i="1"/>
  <c r="E60" i="1"/>
  <c r="F60" i="1"/>
  <c r="C60" i="1"/>
  <c r="C58" i="1"/>
  <c r="D58" i="1"/>
  <c r="E58" i="1"/>
  <c r="F58" i="1"/>
  <c r="I20" i="2"/>
  <c r="H20" i="2"/>
  <c r="G20" i="2"/>
  <c r="F20" i="2"/>
  <c r="E20" i="2"/>
  <c r="J10" i="2"/>
  <c r="I10" i="2"/>
  <c r="H10" i="2"/>
  <c r="G10" i="2"/>
  <c r="F10" i="2"/>
  <c r="E10" i="2"/>
  <c r="C10" i="2"/>
  <c r="B10" i="2"/>
  <c r="B20" i="2"/>
  <c r="J19" i="2"/>
  <c r="J18" i="2"/>
  <c r="J8" i="2"/>
  <c r="J7" i="2"/>
  <c r="D16" i="2"/>
  <c r="D3" i="2"/>
  <c r="D14" i="2"/>
  <c r="D13" i="2"/>
  <c r="D20" i="2" s="1"/>
  <c r="D5" i="2"/>
  <c r="G12" i="1"/>
  <c r="H12" i="1" s="1"/>
  <c r="D4" i="2"/>
  <c r="G38" i="1"/>
  <c r="H9" i="1"/>
  <c r="G11" i="1"/>
  <c r="H11" i="1" s="1"/>
  <c r="C39" i="1"/>
  <c r="D39" i="1" s="1"/>
  <c r="E39" i="1" s="1"/>
  <c r="C40" i="1"/>
  <c r="D40" i="1" s="1"/>
  <c r="E40" i="1" s="1"/>
  <c r="C41" i="1"/>
  <c r="D41" i="1" s="1"/>
  <c r="E41" i="1" s="1"/>
  <c r="F41" i="1"/>
  <c r="F40" i="1"/>
  <c r="F39" i="1"/>
  <c r="K18" i="2" l="1"/>
  <c r="K19" i="2"/>
  <c r="K7" i="2"/>
  <c r="K10" i="2"/>
  <c r="K8" i="2"/>
  <c r="D10" i="2"/>
  <c r="J20" i="2"/>
  <c r="K20" i="2" s="1"/>
  <c r="G39" i="1"/>
  <c r="G40" i="1"/>
  <c r="G41" i="1"/>
  <c r="C28" i="1"/>
  <c r="D28" i="1" s="1"/>
  <c r="E28" i="1" s="1"/>
  <c r="G28" i="1" s="1"/>
  <c r="C29" i="1"/>
  <c r="D29" i="1" s="1"/>
  <c r="E29" i="1" s="1"/>
  <c r="G29" i="1" s="1"/>
  <c r="C30" i="1"/>
  <c r="D30" i="1" s="1"/>
  <c r="E30" i="1" s="1"/>
  <c r="G30" i="1" s="1"/>
  <c r="C31" i="1"/>
  <c r="D31" i="1" s="1"/>
  <c r="E31" i="1" s="1"/>
  <c r="G31" i="1" s="1"/>
  <c r="C32" i="1"/>
  <c r="D32" i="1" s="1"/>
  <c r="E32" i="1" s="1"/>
  <c r="G32" i="1" s="1"/>
  <c r="C33" i="1"/>
  <c r="D33" i="1" s="1"/>
  <c r="E33" i="1" s="1"/>
  <c r="G33" i="1" s="1"/>
  <c r="C34" i="1"/>
  <c r="D34" i="1" s="1"/>
  <c r="E34" i="1" s="1"/>
  <c r="G34" i="1" s="1"/>
  <c r="C35" i="1"/>
  <c r="D35" i="1" s="1"/>
  <c r="E35" i="1" s="1"/>
  <c r="G35" i="1" s="1"/>
  <c r="C36" i="1"/>
  <c r="D36" i="1" s="1"/>
  <c r="E36" i="1" s="1"/>
  <c r="G36" i="1" s="1"/>
  <c r="C27" i="1"/>
  <c r="D27" i="1" s="1"/>
  <c r="E27" i="1" s="1"/>
  <c r="G27" i="1" s="1"/>
  <c r="H3" i="1"/>
  <c r="H4" i="1"/>
  <c r="H5" i="1"/>
  <c r="H6" i="1"/>
  <c r="H7" i="1"/>
  <c r="H8" i="1"/>
  <c r="H2" i="1"/>
  <c r="D51" i="1"/>
  <c r="B51" i="1"/>
  <c r="C51" i="1" s="1"/>
  <c r="B47" i="1"/>
  <c r="B46" i="1"/>
  <c r="B45" i="1"/>
  <c r="E51" i="1" l="1"/>
  <c r="F51" i="1" s="1"/>
  <c r="G51" i="1" l="1"/>
  <c r="H51" i="1" s="1"/>
</calcChain>
</file>

<file path=xl/sharedStrings.xml><?xml version="1.0" encoding="utf-8"?>
<sst xmlns="http://schemas.openxmlformats.org/spreadsheetml/2006/main" count="621" uniqueCount="379">
  <si>
    <t>County</t>
  </si>
  <si>
    <t>Hardin (IA)</t>
  </si>
  <si>
    <t>Fulton (IL)</t>
  </si>
  <si>
    <t>Tuscola (MI)</t>
  </si>
  <si>
    <t>Morrison (MN)</t>
  </si>
  <si>
    <t>Freeborn (MN)</t>
  </si>
  <si>
    <t>Macon (MO)</t>
  </si>
  <si>
    <t>Hamilton (NE)</t>
  </si>
  <si>
    <t>Codington (SD)</t>
  </si>
  <si>
    <t>N fertilizer (kg N/ha)</t>
  </si>
  <si>
    <t>K fertilizer (kg K2O/ha)</t>
  </si>
  <si>
    <t>P fertilizer (kg P2O5/ha)</t>
  </si>
  <si>
    <t>Lime (kg/ha)</t>
  </si>
  <si>
    <t>https://link.springer.com/article/10.1007/s11367-008-0054-4</t>
  </si>
  <si>
    <t>Component</t>
  </si>
  <si>
    <t>Dry Matter</t>
  </si>
  <si>
    <t>Nitrogen</t>
  </si>
  <si>
    <t>Phosphorus</t>
  </si>
  <si>
    <t>Potassium</t>
  </si>
  <si>
    <t>% of total</t>
  </si>
  <si>
    <t>% N</t>
  </si>
  <si>
    <t>% P2O5</t>
  </si>
  <si>
    <t>% K2O</t>
  </si>
  <si>
    <t>Grain</t>
  </si>
  <si>
    <t>Stalks</t>
  </si>
  <si>
    <t>Leaves</t>
  </si>
  <si>
    <t>Cobs</t>
  </si>
  <si>
    <t>Sheaths</t>
  </si>
  <si>
    <t>Husks</t>
  </si>
  <si>
    <t>Shanks</t>
  </si>
  <si>
    <t>https://www.researchgate.net/profile/Kalidas-Subedi/publication/232252185_In_Corn_Crop_Production_Growth_Fertilization_and_Yield_CORN_CROP_PRODUCTION_GROWTH_FERTILIZATION_AND_YIELD/links/0912f507dbd23d99b7000000/In-Corn-Crop-Production-Growth-Fertilization-and-Yield-CORN-CROP-PRODUCTION-GROWTH-FERTILIZATION-AND-YIELD.pdf</t>
  </si>
  <si>
    <t>Source</t>
  </si>
  <si>
    <t>[1]</t>
  </si>
  <si>
    <t>[2]</t>
  </si>
  <si>
    <t>*Other nutrients include S, Ca, Mg, Cl, Fe, Mn, Zn, Cu, B</t>
  </si>
  <si>
    <t>Yield (t/ha) - Grain</t>
  </si>
  <si>
    <t>Stover</t>
  </si>
  <si>
    <t>Roots</t>
  </si>
  <si>
    <t>CO2 Share</t>
  </si>
  <si>
    <t>Conversion</t>
  </si>
  <si>
    <t>Bushels of Corn</t>
  </si>
  <si>
    <t>t of Corn</t>
  </si>
  <si>
    <t>t of CO2</t>
  </si>
  <si>
    <t>kg of CO2/kg of Corn</t>
  </si>
  <si>
    <t>Quantity</t>
  </si>
  <si>
    <t>[3]</t>
  </si>
  <si>
    <t>https://fluidfertilizer.org/wp-content/uploads/2016/05/21P22-25.pdf</t>
  </si>
  <si>
    <t>mole of CO2/kg of Corn</t>
  </si>
  <si>
    <t>mole of H20/kg of Corn</t>
  </si>
  <si>
    <t>kg of H20/kg of Corn</t>
  </si>
  <si>
    <t>https://www.scientificamerican.com/article/how-growing-corn-could-produce-less-pollution/</t>
  </si>
  <si>
    <t>[4]</t>
  </si>
  <si>
    <t>kg CO2 sequestered/ha</t>
  </si>
  <si>
    <t>kg CO2/kg of Grain</t>
  </si>
  <si>
    <t>[5]</t>
  </si>
  <si>
    <t>https://acsess.onlinelibrary.wiley.com/doi/full/10.2134/agronj2011.0353</t>
  </si>
  <si>
    <t>[6]</t>
  </si>
  <si>
    <t>https://www.intechopen.com/chapters/52629</t>
  </si>
  <si>
    <t>Crop</t>
  </si>
  <si>
    <t>Switchgrass</t>
  </si>
  <si>
    <t>kg CO2 sequestered/t (above ground biomass)</t>
  </si>
  <si>
    <t>Growth Stage</t>
  </si>
  <si>
    <t>Emergence</t>
  </si>
  <si>
    <t>4-leaf</t>
  </si>
  <si>
    <t>8-leaf</t>
  </si>
  <si>
    <t>12-leaf</t>
  </si>
  <si>
    <t>Early tassel</t>
  </si>
  <si>
    <t>Silking</t>
  </si>
  <si>
    <t>Blister Kernel</t>
  </si>
  <si>
    <t>Beginning Dent</t>
  </si>
  <si>
    <t>Full Dent</t>
  </si>
  <si>
    <t>Maturity</t>
  </si>
  <si>
    <t>Water Use (in) cumulative</t>
  </si>
  <si>
    <t>*Evapotranspiration: water removed from the soil by evaporation and transpiration by the plant</t>
  </si>
  <si>
    <t>70-80% of crop water use results from transpiration - for CO2 purposes</t>
  </si>
  <si>
    <t>*Variables: air temperature, humidity, solar radiation, wind</t>
  </si>
  <si>
    <t>Ex: high humidity + clear skies + low wind speed will result in less water demand</t>
  </si>
  <si>
    <t>Yield (Nebraska, t/ha)</t>
  </si>
  <si>
    <t>Water Use (kg/kg)</t>
  </si>
  <si>
    <t>https://extensionpubs.unl.edu/publication/g1850/html/view</t>
  </si>
  <si>
    <t>[7]</t>
  </si>
  <si>
    <t>*Importance of field residue: prevent soil evaporation</t>
  </si>
  <si>
    <t>[8]</t>
  </si>
  <si>
    <t>https://www.jains.com/Company/news/blog/HOWMUCHWATERDOESMYCROPNEEDPart7.htm</t>
  </si>
  <si>
    <t>*India specific values, 115 day crop</t>
  </si>
  <si>
    <t>10--12</t>
  </si>
  <si>
    <t>3642-4342</t>
  </si>
  <si>
    <t>7-8.5</t>
  </si>
  <si>
    <t>[9]</t>
  </si>
  <si>
    <t>https://crops.extension.iastate.edu/cropnews/2017/06/corn-water-use-and-evapotranspiration</t>
  </si>
  <si>
    <t>*claim: every inch of evapotranspiration increases corn yield by 17 BU</t>
  </si>
  <si>
    <t>N/A</t>
  </si>
  <si>
    <t>Notes</t>
  </si>
  <si>
    <t>*These are not universal compositions (but are useful for computation purposes)</t>
  </si>
  <si>
    <t>Time to grow corn: 60-140 days after seeding, average of 115</t>
  </si>
  <si>
    <t>*Evapotranspiration: varies depending on residue cover, soil texture, soil moisture, growth stage [9]</t>
  </si>
  <si>
    <t>N/A: Drip irrigation</t>
  </si>
  <si>
    <t>N/A: Ridge/Furrow Irrigation</t>
  </si>
  <si>
    <t>Miscanthus</t>
  </si>
  <si>
    <t>P (kg/ha)</t>
  </si>
  <si>
    <t>K (kg/ha)</t>
  </si>
  <si>
    <t>N (kg/ha)</t>
  </si>
  <si>
    <t>[10]</t>
  </si>
  <si>
    <t>https://www.osti.gov/etdeweb/servlets/purl/20249918</t>
  </si>
  <si>
    <t>8--18</t>
  </si>
  <si>
    <t>8--11</t>
  </si>
  <si>
    <t>t CO2/acre</t>
  </si>
  <si>
    <t>1.8-4.7</t>
  </si>
  <si>
    <t>[11]</t>
  </si>
  <si>
    <t>https://www.canr.msu.edu/news/carbon_sequestration_potential_of_switchgrass_as_a_bio_energy_crop</t>
  </si>
  <si>
    <t>https://www.ncbi.nlm.nih.gov/pmc/articles/PMC9781985/#:~:text=Compared%20with%20corn%2C%20switchgrass%20absorbs,m%E2%88%922%20%5B31%5D.</t>
  </si>
  <si>
    <t>[12]</t>
  </si>
  <si>
    <t>t CO2/ha</t>
  </si>
  <si>
    <t>[13]</t>
  </si>
  <si>
    <t>[14]</t>
  </si>
  <si>
    <t>https://terravesta.com/miscanthus-carbon/#:~:text=Miscanthus%20has%20the%20potential%20to,excludes%20the%20actual%20biomass%20itself.</t>
  </si>
  <si>
    <t>https://bioplasticshop.nl/data/mediablocks/CarbonFootprint_Miscanthus_1.pdf</t>
  </si>
  <si>
    <t>https://nora.nerc.ac.uk/id/eprint/515805/1/N515805JA.pdf</t>
  </si>
  <si>
    <t>[15]</t>
  </si>
  <si>
    <t>Yield (t/ha)</t>
  </si>
  <si>
    <t>11.8--15.54</t>
  </si>
  <si>
    <t>[16]</t>
  </si>
  <si>
    <t>Evapotranspiration (mm)</t>
  </si>
  <si>
    <t>[17]</t>
  </si>
  <si>
    <t>[18]</t>
  </si>
  <si>
    <t>521-786</t>
  </si>
  <si>
    <t>https://www.sciencedirect.com/science/article/pii/S0048969719332413</t>
  </si>
  <si>
    <t>https://onlinelibrary.wiley.com/doi/10.1111/gcbb.12503</t>
  </si>
  <si>
    <t>https://www.sciencedirect.com/science/article/pii/S0378377415000931</t>
  </si>
  <si>
    <t>[19]</t>
  </si>
  <si>
    <t>https://www.sciencedirect.com/science/article/pii/S1573521416300112</t>
  </si>
  <si>
    <t>580--620</t>
  </si>
  <si>
    <t>6.6 -- 8.26</t>
  </si>
  <si>
    <t>https://www.mdpi.com/2075-1729/12/12/2105</t>
  </si>
  <si>
    <t>[20]</t>
  </si>
  <si>
    <t>(t/ha)</t>
  </si>
  <si>
    <t>Average</t>
  </si>
  <si>
    <t>*Advantages of energy crops: lack of tillage, no extensive root biomass</t>
  </si>
  <si>
    <t>*Transpiration: 366-546 (ratios: 0.7 - 0.76) --&gt; 0.24 - 0.3 are the non-productive losses</t>
  </si>
  <si>
    <t>*Miscanthus/switchgrass are perennial crops, do not require annual seeding</t>
  </si>
  <si>
    <t>*Miscanthus x giganteus can grow to up to 3 m.</t>
  </si>
  <si>
    <t>*Challenge with energy crops is determining their water usage</t>
  </si>
  <si>
    <t>*Soil evaporation can account for 20-30% of growing season evapotranspiration</t>
  </si>
  <si>
    <t>*Water use efficiency: crop yield/ET (how much biomass is produced per unit water)</t>
  </si>
  <si>
    <t>*The application of different fertilizers will result in different yield quantities</t>
  </si>
  <si>
    <t>(l/in2)</t>
  </si>
  <si>
    <t>(l/m2)</t>
  </si>
  <si>
    <t>[21]</t>
  </si>
  <si>
    <t>https://fdc.nal.usda.gov/fdc-app.html#/food-details/170288/nutrients</t>
  </si>
  <si>
    <t>Composition (wet)</t>
  </si>
  <si>
    <t>Composition (dry)</t>
  </si>
  <si>
    <t>https://www.feedtables.com/content/maize</t>
  </si>
  <si>
    <t>[22]</t>
  </si>
  <si>
    <t>Category</t>
  </si>
  <si>
    <t>Water (%)</t>
  </si>
  <si>
    <t>Protein  (%)</t>
  </si>
  <si>
    <t>Lipids  (%)</t>
  </si>
  <si>
    <t>Ash  (%)</t>
  </si>
  <si>
    <t>Carboyhdrates (starch)  (%)</t>
  </si>
  <si>
    <t>8--10</t>
  </si>
  <si>
    <t>4--5</t>
  </si>
  <si>
    <t>70--75</t>
  </si>
  <si>
    <t>[23]</t>
  </si>
  <si>
    <t>https://www.ncbi.nlm.nih.gov/pmc/articles/PMC5380630/#:~:text=The%20nutrient%20component%20of%20a,the%20germ%20on%20dry%20basis.</t>
  </si>
  <si>
    <t>Cellulose</t>
  </si>
  <si>
    <t>Hemicellulose</t>
  </si>
  <si>
    <t>Lignin</t>
  </si>
  <si>
    <t>15--20</t>
  </si>
  <si>
    <t>[24]</t>
  </si>
  <si>
    <t>https://www.agmrc.org/commodities-products/biomass/corn-stover#:~:text=Overview,United%20States%20(Wilhelm%20et%20al.</t>
  </si>
  <si>
    <t>[25]</t>
  </si>
  <si>
    <t>https://www.sciencedirect.com/science/article/abs/pii/B9780128141380000034</t>
  </si>
  <si>
    <t>35--40</t>
  </si>
  <si>
    <t>20--25</t>
  </si>
  <si>
    <t>[26]</t>
  </si>
  <si>
    <t>https://ohioline.osu.edu/factsheet/aex-6511-13</t>
  </si>
  <si>
    <t>[27]</t>
  </si>
  <si>
    <t>https://www.sciencedirect.com/science/article/pii/S1364032121007000#appsec1</t>
  </si>
  <si>
    <t>*Lignin makes up cell walls</t>
  </si>
  <si>
    <t>*Cellulose and hemicellulose are polysaccharides</t>
  </si>
  <si>
    <t>*Lignocellulosic biomass requires significant pre-treatments to reduce the recalcitrance.</t>
  </si>
  <si>
    <t>Uses:</t>
  </si>
  <si>
    <t>*Grain Lipids: HEFA</t>
  </si>
  <si>
    <t>*Grain Carbs: ATJ</t>
  </si>
  <si>
    <t>*Stover Lignin: FT</t>
  </si>
  <si>
    <t>*Stover Carbs (Cellulose): ATJ or FT</t>
  </si>
  <si>
    <t>Harvest Indices</t>
  </si>
  <si>
    <t>0.482 -- 0.554</t>
  </si>
  <si>
    <t>https://www.sciencedirect.com/science/article/pii/S0378429023001843#tbl0005</t>
  </si>
  <si>
    <t>[28]</t>
  </si>
  <si>
    <t>*HI: grain/(grain + stover). The higher the HI, the higher the amount of grain over the total.</t>
  </si>
  <si>
    <t>*Here, grain + stover is the biological yield, although only the grain is useful.</t>
  </si>
  <si>
    <t>[29]</t>
  </si>
  <si>
    <t>https://onlinelibrary.wiley.com/doi/full/10.1002/fes3.256</t>
  </si>
  <si>
    <t>[30]</t>
  </si>
  <si>
    <t>https://crops.extension.iastate.edu/cropnews/2019/09/nutrient-removal-when-harvesting-corn-stover</t>
  </si>
  <si>
    <t>https://www.ncbi.nlm.nih.gov/pmc/articles/PMC9610854/</t>
  </si>
  <si>
    <t>[31]</t>
  </si>
  <si>
    <t>https://www.researchgate.net/publication/277166505_Bioethanol_production_by_Miscanthus_as_a_lignocellulosic_biomass_Focus_on_high_efficiency_conversion_to_glucose_and_ethanol</t>
  </si>
  <si>
    <t>[32]</t>
  </si>
  <si>
    <t>Cellulose (%)</t>
  </si>
  <si>
    <t>Hemicellulose  (%)</t>
  </si>
  <si>
    <t>Lignin  (%)</t>
  </si>
  <si>
    <t>Pentosans  (%)</t>
  </si>
  <si>
    <t>Water  (%)</t>
  </si>
  <si>
    <t>*Pentosan is a type of polysaccharide</t>
  </si>
  <si>
    <t>https://www.ncbi.nlm.nih.gov/pmc/articles/PMC7482092/#:~:text=Switchgrass%20has%20the%20potential%20to,12%E2%80%9328%25%20wt).</t>
  </si>
  <si>
    <t>[33]</t>
  </si>
  <si>
    <t>32--45</t>
  </si>
  <si>
    <t>21--31</t>
  </si>
  <si>
    <t>12--28</t>
  </si>
  <si>
    <t>https://www.researchgate.net/publication/228426353_Evaluation_of_pulp_and_paper_making_characteristics_of_elephant_grass_Pennisetum_purpureum_Schum_and_switchgrass_Panicum_virgatum_L</t>
  </si>
  <si>
    <t>[34]</t>
  </si>
  <si>
    <t>*Switchgrass moisture content can be modelled after miscanthus</t>
  </si>
  <si>
    <t>Process</t>
  </si>
  <si>
    <t>Energy use (Btu/gallon)</t>
  </si>
  <si>
    <t>Dry milling w/o corn oil extraction</t>
  </si>
  <si>
    <t>Dry milling w/ corn oil extraction</t>
  </si>
  <si>
    <t>Wet milling</t>
  </si>
  <si>
    <t>Yield (Gallons/BU)</t>
  </si>
  <si>
    <t>Corn Oil</t>
  </si>
  <si>
    <t>Energy use (Btu/lb)</t>
  </si>
  <si>
    <t>Yield (lb/BU)</t>
  </si>
  <si>
    <t>https://www.icao.int/environmental-protection/Pages/SAF_RULESOFTHUMB.aspx</t>
  </si>
  <si>
    <t>SAF Pathway</t>
  </si>
  <si>
    <t>Feedstock</t>
  </si>
  <si>
    <t>ATJ</t>
  </si>
  <si>
    <t>Ethanol</t>
  </si>
  <si>
    <t>Yield (ton distillate/ton feedstock)</t>
  </si>
  <si>
    <t>Iso-butanol</t>
  </si>
  <si>
    <t>HEFA</t>
  </si>
  <si>
    <t>Corn oil</t>
  </si>
  <si>
    <t>FT</t>
  </si>
  <si>
    <t>Corn Stover</t>
  </si>
  <si>
    <t>Pyrolysis</t>
  </si>
  <si>
    <t>Farming (Btu/BU)</t>
  </si>
  <si>
    <t>Fertilizer/Pesticide Use (g/BU)</t>
  </si>
  <si>
    <t>Farming</t>
  </si>
  <si>
    <t>N</t>
  </si>
  <si>
    <t>P2O5</t>
  </si>
  <si>
    <t>K2O</t>
  </si>
  <si>
    <t>CaCO3</t>
  </si>
  <si>
    <t>Herbicide</t>
  </si>
  <si>
    <t>Insecticide</t>
  </si>
  <si>
    <t>Corn Farming</t>
  </si>
  <si>
    <t>Miscanthus Farming</t>
  </si>
  <si>
    <t>Farming (Btu/dry ton)</t>
  </si>
  <si>
    <t>Fertilizer/Pesticide Use (g/dry ton)</t>
  </si>
  <si>
    <t>Switchgrass Farming</t>
  </si>
  <si>
    <t>Stover Collection</t>
  </si>
  <si>
    <t>Stover Collection (Btu/dry ton)</t>
  </si>
  <si>
    <t>Switchgrass/Miscanthus/Stover Ethanol</t>
  </si>
  <si>
    <t>https://greet.anl.gov/</t>
  </si>
  <si>
    <t>HRJ (gal/lb)</t>
  </si>
  <si>
    <t xml:space="preserve">Source: </t>
  </si>
  <si>
    <t>Citation</t>
  </si>
  <si>
    <t>Link</t>
  </si>
  <si>
    <t>Source:</t>
  </si>
  <si>
    <r>
      <t>Kim, Seungdo, Bruce E. Dale, and Robin Jenkins. "Life cycle assessment of corn grain and corn stover in the United States." </t>
    </r>
    <r>
      <rPr>
        <i/>
        <sz val="12"/>
        <color rgb="FF222222"/>
        <rFont val="Calibri"/>
        <family val="2"/>
      </rPr>
      <t>The International Journal of Life Cycle Assessment</t>
    </r>
    <r>
      <rPr>
        <sz val="12"/>
        <color rgb="FF222222"/>
        <rFont val="Calibri"/>
        <family val="2"/>
      </rPr>
      <t> 14 (2009): 160-174.</t>
    </r>
  </si>
  <si>
    <r>
      <t>Subedi, K. D., and B. L. Ma. "Corn crop production: growth, fertilization and yield." </t>
    </r>
    <r>
      <rPr>
        <i/>
        <sz val="12"/>
        <color rgb="FF222222"/>
        <rFont val="Calibri"/>
        <family val="2"/>
      </rPr>
      <t>Agriculture issues and policies</t>
    </r>
    <r>
      <rPr>
        <sz val="12"/>
        <color rgb="FF222222"/>
        <rFont val="Calibri"/>
        <family val="2"/>
      </rPr>
      <t> (2009).</t>
    </r>
  </si>
  <si>
    <r>
      <t>Lohry, Bill. "One answer to global warming: high-yield agriculture." </t>
    </r>
    <r>
      <rPr>
        <i/>
        <sz val="12"/>
        <color rgb="FF222222"/>
        <rFont val="Calibri"/>
        <family val="2"/>
      </rPr>
      <t>Fluid Journal Spring</t>
    </r>
    <r>
      <rPr>
        <sz val="12"/>
        <color rgb="FF222222"/>
        <rFont val="Calibri"/>
        <family val="2"/>
      </rPr>
      <t> (1998).</t>
    </r>
  </si>
  <si>
    <t>Stecker, T. "How Growing Corn Could Produce Less Pollution". Scientific American (2013).</t>
  </si>
  <si>
    <r>
      <t>Clay, David E., Jiyul Chang, Sharon A. Clay, James Stone, Ronald H. Gelderman, Gregg C. Carlson, Kurtis Reitsma, Marcus Jones, Larry Janssen, and Thomas Schumacher. "Corn yields and no‐tillage affects carbon sequestration and carbon footprints." </t>
    </r>
    <r>
      <rPr>
        <i/>
        <sz val="12"/>
        <color rgb="FF222222"/>
        <rFont val="Calibri"/>
        <family val="2"/>
      </rPr>
      <t>Agronomy Journal</t>
    </r>
    <r>
      <rPr>
        <sz val="12"/>
        <color rgb="FF222222"/>
        <rFont val="Calibri"/>
        <family val="2"/>
      </rPr>
      <t> 104, no. 3 (2012): 763-770.</t>
    </r>
  </si>
  <si>
    <r>
      <t>Holou, Roland Ahouélété Yaovi, and Valentin Missiakô Kindomihou. "The biofuel crops in global warming challenge: Carbon capture by corn, sweet sorghum and switchgrass biomass grown for biofuel production in the USA." </t>
    </r>
    <r>
      <rPr>
        <i/>
        <sz val="12"/>
        <color rgb="FF222222"/>
        <rFont val="Calibri"/>
        <family val="2"/>
      </rPr>
      <t>Frontiers in Bioenergy and Biofuels. IntechOpen</t>
    </r>
    <r>
      <rPr>
        <sz val="12"/>
        <color rgb="FF222222"/>
        <rFont val="Calibri"/>
        <family val="2"/>
      </rPr>
      <t> (2017): 139-151.</t>
    </r>
  </si>
  <si>
    <t>Kranz, W., Irmak, S., van Donk, S. J., Yonts, C. D., &amp; Martin, D. L. "Irrigation Management for Corn". Extension Pubs (2008).</t>
  </si>
  <si>
    <t>Blog at Jains. "How much water does my crop need?". Jains (2020).</t>
  </si>
  <si>
    <t>ISU. "Corn Water Use and Evapotranspiration". Integrated Crop Management (2017).</t>
  </si>
  <si>
    <t>USDA. "Corn grain, yellow". FoodData Central (2024).</t>
  </si>
  <si>
    <t>Feedinamics. "Maize grain". Feedinamics (2024).</t>
  </si>
  <si>
    <r>
      <t>Prasanthi, P. S., N. Naveena, M. Vishnuvardhana Rao, and K. Bhaskarachary. "Compositional variability of nutrients and phytochemicals in corn after processing." </t>
    </r>
    <r>
      <rPr>
        <i/>
        <sz val="13"/>
        <color rgb="FF222222"/>
        <rFont val="Arial"/>
        <family val="2"/>
      </rPr>
      <t>Journal of food science and technology</t>
    </r>
    <r>
      <rPr>
        <sz val="13"/>
        <color rgb="FF222222"/>
        <rFont val="Arial"/>
        <family val="2"/>
      </rPr>
      <t> 54 (2017): 1080-1090.</t>
    </r>
  </si>
  <si>
    <t>Koundinya, V. "Corn Stover". Agricultural Marketing Resource Center (2022).</t>
  </si>
  <si>
    <r>
      <t>Ruan, Zhenhua, Xiaoqing Wang, Yan Liu, and Wei Liao. "Corn." In </t>
    </r>
    <r>
      <rPr>
        <i/>
        <sz val="13"/>
        <color rgb="FF222222"/>
        <rFont val="Arial"/>
        <family val="2"/>
      </rPr>
      <t>Integrated processing technologies for food and agricultural by-products</t>
    </r>
    <r>
      <rPr>
        <sz val="13"/>
        <color rgb="FF222222"/>
        <rFont val="Arial"/>
        <family val="2"/>
      </rPr>
      <t>, pp. 59-72. Academic Press, 2019.</t>
    </r>
  </si>
  <si>
    <t>Li, Y. "Fungal Pretreatment of Corn Stover Fractions for Ethanol Production". Ohio State University Extension (2013).</t>
  </si>
  <si>
    <r>
      <t>Holmatov, Bunyod, Joep F. Schyns, M. S. Krol, P. W. Gerbens-Leenes, and Arjen Y. Hoekstra. "Can crop residues provide fuel for future transport? Limited global residue bioethanol potentials and large associated land, water and carbon footprints." </t>
    </r>
    <r>
      <rPr>
        <i/>
        <sz val="13"/>
        <color rgb="FF222222"/>
        <rFont val="Arial"/>
        <family val="2"/>
      </rPr>
      <t>Renewable and Sustainable Energy Reviews</t>
    </r>
    <r>
      <rPr>
        <sz val="13"/>
        <color rgb="FF222222"/>
        <rFont val="Arial"/>
        <family val="2"/>
      </rPr>
      <t> 149 (2021): 111417.</t>
    </r>
  </si>
  <si>
    <r>
      <t>Ruiz, Alejo, Slobodan Trifunovic, Douglas M. Eudy, Cintia S. Sciarresi, Mitchell Baum, Gerasimos JN Danalatos, Elvis F. Elli et al. "Harvest index has increased over the last 50 years of maize breeding." </t>
    </r>
    <r>
      <rPr>
        <i/>
        <sz val="13"/>
        <color rgb="FF222222"/>
        <rFont val="Arial"/>
        <family val="2"/>
      </rPr>
      <t>Field Crops Research</t>
    </r>
    <r>
      <rPr>
        <sz val="13"/>
        <color rgb="FF222222"/>
        <rFont val="Arial"/>
        <family val="2"/>
      </rPr>
      <t> 300 (2023): 108991.</t>
    </r>
  </si>
  <si>
    <r>
      <t>Liu, Wanmao, Peng Hou, Guangzhou Liu, Yunshan Yang, Xiaoxia Guo, Bo Ming, Ruizhi Xie, Keru Wang, Yuee Liu, and Shaokun Li. "Contribution of total dry matter and harvest index to maize grain yield—A multisource data analysis." </t>
    </r>
    <r>
      <rPr>
        <i/>
        <sz val="13"/>
        <color rgb="FF222222"/>
        <rFont val="Arial"/>
        <family val="2"/>
      </rPr>
      <t>Food and Energy Security</t>
    </r>
    <r>
      <rPr>
        <sz val="13"/>
        <color rgb="FF222222"/>
        <rFont val="Arial"/>
        <family val="2"/>
      </rPr>
      <t> 9, no. 4 (2020): e256.</t>
    </r>
  </si>
  <si>
    <t>ISU. "Nutrient Removal When Harvesting Corn Stover". Integrated Crop Management (2019).</t>
  </si>
  <si>
    <t>Bullard, M. &amp; Metcalfe, P. "Estimating the energy requirements and CO2 emissions from production of the perennial grasses miscanthus, switchgrass and reed canary grass". ETSU (2001).</t>
  </si>
  <si>
    <t>Min, D. "Carbon sequestration potential of switchgrass as a bio-energy crop". MSU Extension (2011).</t>
  </si>
  <si>
    <t>Terravesta. "Miscanthus scientifically proven to be carbon neutral". Terravesta (2024).</t>
  </si>
  <si>
    <t>Vibers. "CO2 uptake Miscanthus". Vibers (2020).</t>
  </si>
  <si>
    <r>
      <t>Bai, Jian, Laicong Luo, Aixin Li, Xiaoqin Lai, Xi Zhang, Yadi Yu, Hao Wang, Nansheng Wu, and Ling Zhang. "Effects of biofuel crop switchgrass (Panicum virgatum) cultivation on soil carbon sequestration and greenhouse gas emissions: a review." </t>
    </r>
    <r>
      <rPr>
        <i/>
        <sz val="12"/>
        <color rgb="FF222222"/>
        <rFont val="Calibri"/>
        <family val="2"/>
      </rPr>
      <t>Life</t>
    </r>
    <r>
      <rPr>
        <sz val="12"/>
        <color rgb="FF222222"/>
        <rFont val="Calibri"/>
        <family val="2"/>
      </rPr>
      <t> 12, no. 12 (2022): 2105.</t>
    </r>
  </si>
  <si>
    <r>
      <t>Robertson, Andy D., Jeanette Whitaker, Ross Morrison, Christian A. Davies, Pete Smith, and Niall P. McNamara. "A Miscanthus plantation can be carbon neutral without increasing soil carbon stocks." </t>
    </r>
    <r>
      <rPr>
        <i/>
        <sz val="12"/>
        <color rgb="FF222222"/>
        <rFont val="Calibri"/>
        <family val="2"/>
      </rPr>
      <t>GCB Bioenergy</t>
    </r>
    <r>
      <rPr>
        <sz val="12"/>
        <color rgb="FF222222"/>
        <rFont val="Calibri"/>
        <family val="2"/>
      </rPr>
      <t> 9, no. 3 (2017): 645-661.</t>
    </r>
  </si>
  <si>
    <r>
      <t>Maleski, Jerome J., David D. Bosch, Ray G. Anderson, Alisa W. Coffin, William F. Anderson, and Timothy C. Strickland. "Evaluation of miscanthus productivity and water use efficiency in southeastern United States." </t>
    </r>
    <r>
      <rPr>
        <i/>
        <sz val="12"/>
        <color rgb="FF222222"/>
        <rFont val="Calibri"/>
        <family val="2"/>
      </rPr>
      <t>Science of the total environment</t>
    </r>
    <r>
      <rPr>
        <sz val="12"/>
        <color rgb="FF222222"/>
        <rFont val="Calibri"/>
        <family val="2"/>
      </rPr>
      <t> 692 (2019): 1125-1134.</t>
    </r>
  </si>
  <si>
    <r>
      <t>Holder, Amanda J., Jon P. McCalmont, Niall P. McNamara, Rebecca Rowe, and Iain S. Donnison. "Evapotranspiration model comparison and an estimate of field scale Miscanthus canopy precipitation interception." </t>
    </r>
    <r>
      <rPr>
        <i/>
        <sz val="12"/>
        <color rgb="FF222222"/>
        <rFont val="Calibri"/>
        <family val="2"/>
      </rPr>
      <t>GCB Bioenergy</t>
    </r>
    <r>
      <rPr>
        <sz val="12"/>
        <color rgb="FF222222"/>
        <rFont val="Calibri"/>
        <family val="2"/>
      </rPr>
      <t> 10, no. 5 (2018): 353-366.</t>
    </r>
  </si>
  <si>
    <r>
      <t>Yimam, Yohannes Tadesse, Tyson E. Ochsner, and Vijaya Gopal Kakani. "Evapotranspiration partitioning and water use efficiency of switchgrass and biomass sorghum managed for biofuel." </t>
    </r>
    <r>
      <rPr>
        <i/>
        <sz val="12"/>
        <color rgb="FF222222"/>
        <rFont val="Calibri"/>
        <family val="2"/>
      </rPr>
      <t>Agricultural Water Management</t>
    </r>
    <r>
      <rPr>
        <sz val="12"/>
        <color rgb="FF222222"/>
        <rFont val="Calibri"/>
        <family val="2"/>
      </rPr>
      <t> 155 (2015): 40-47.</t>
    </r>
  </si>
  <si>
    <r>
      <t>Giannoulis, K. D., T. Karyotis, M. Sakellariou-Makrantonaki, L. Bastiaans, P. C. Struik, and N. G. Danalatos. "Switchgrass biomass partitioning and growth characteristics under different management practices." </t>
    </r>
    <r>
      <rPr>
        <i/>
        <sz val="12"/>
        <color rgb="FF222222"/>
        <rFont val="Calibri"/>
        <family val="2"/>
      </rPr>
      <t>NJAS-Wageningen Journal of Life Sciences</t>
    </r>
    <r>
      <rPr>
        <sz val="12"/>
        <color rgb="FF222222"/>
        <rFont val="Calibri"/>
        <family val="2"/>
      </rPr>
      <t> 78 (2016): 61-67.</t>
    </r>
  </si>
  <si>
    <r>
      <t>Gismatulina, Yulia A., Vera V. Budaeva, Aleksey N. Kortusov, Ekaterina I. Kashcheyeva, Evgenia K. Gladysheva, Galina F. Mironova, Ekaterina A. Skiba et al. "Evaluation of chemical composition of Miscanthus× giganteus raised in different climate regions in Russia." </t>
    </r>
    <r>
      <rPr>
        <i/>
        <sz val="12"/>
        <color rgb="FF222222"/>
        <rFont val="Calibri"/>
        <family val="2"/>
      </rPr>
      <t>Plants</t>
    </r>
    <r>
      <rPr>
        <sz val="12"/>
        <color rgb="FF222222"/>
        <rFont val="Calibri"/>
        <family val="2"/>
      </rPr>
      <t> 11, no. 20 (2022): 2791.</t>
    </r>
  </si>
  <si>
    <r>
      <t>Han, Minhee, Yule Kim, Bon-cheol Koo, and Gi-Wook Choi. "Bioethanol production by Miscanthus as a lignocellulosic biomass: Focus on high efficiency conversion to glucose and ethanol." </t>
    </r>
    <r>
      <rPr>
        <i/>
        <sz val="12"/>
        <color rgb="FF222222"/>
        <rFont val="Calibri"/>
        <family val="2"/>
      </rPr>
      <t>Bioresources</t>
    </r>
    <r>
      <rPr>
        <sz val="12"/>
        <color rgb="FF222222"/>
        <rFont val="Calibri"/>
        <family val="2"/>
      </rPr>
      <t> 6, no. 2 (2011): 1939-1953.</t>
    </r>
  </si>
  <si>
    <r>
      <t>Wang, Fan, Dongxiang Shi, Ju Han, Ge Zhang, Xinglin Jiang, Mingjun Yang, Zhenying Wu et al. "Comparative study on pretreatment processes for different utilization purposes of switchgrass." </t>
    </r>
    <r>
      <rPr>
        <i/>
        <sz val="12"/>
        <color rgb="FF222222"/>
        <rFont val="Calibri"/>
        <family val="2"/>
      </rPr>
      <t>ACS omega</t>
    </r>
    <r>
      <rPr>
        <sz val="12"/>
        <color rgb="FF222222"/>
        <rFont val="Calibri"/>
        <family val="2"/>
      </rPr>
      <t> 5, no. 35 (2020): 21999-22007.</t>
    </r>
  </si>
  <si>
    <r>
      <t>Madakadze, I. C., T. M. Masamvu, T. Radiotis, J. Li, and Donald L. Smith. "Evaluation of pulp and paper making characteristics of elephant grass (Pennisetum purpureum Schum) and switchgrass (Panicum virgatum L.)." </t>
    </r>
    <r>
      <rPr>
        <i/>
        <sz val="12"/>
        <color rgb="FF222222"/>
        <rFont val="Calibri"/>
        <family val="2"/>
      </rPr>
      <t>African Journal of Environmental Science and Technology</t>
    </r>
    <r>
      <rPr>
        <sz val="12"/>
        <color rgb="FF222222"/>
        <rFont val="Calibri"/>
        <family val="2"/>
      </rPr>
      <t> 4, no. 7 (2010): 465-470.</t>
    </r>
  </si>
  <si>
    <t>ICAO. "SAF Rules of Thumb". International Civil Aviation Organization (2024).</t>
  </si>
  <si>
    <t>Wang, M. "GREET". Argonne National Laboratory (2024).</t>
  </si>
  <si>
    <t>[35]</t>
  </si>
  <si>
    <t>[36]</t>
  </si>
  <si>
    <t>Iso-butanol (corn grain)</t>
  </si>
  <si>
    <t>Ethanol (corn)</t>
  </si>
  <si>
    <t>Ethanol (cellulosic biomass)</t>
  </si>
  <si>
    <t>Iso-butanol (switchgrass)</t>
  </si>
  <si>
    <t>Iso-butanol (miscanthus)</t>
  </si>
  <si>
    <t>kg/MJ_jet</t>
  </si>
  <si>
    <t>Btu/MJ_jet</t>
  </si>
  <si>
    <t>[37]</t>
  </si>
  <si>
    <t>`</t>
  </si>
  <si>
    <t>Fertilizer/Pesticide Use (g/kg_grain)</t>
  </si>
  <si>
    <t>Farming (MJ/kg_grain)</t>
  </si>
  <si>
    <t>Pesticides</t>
  </si>
  <si>
    <t>Energy use (MJ/MJ_EtOH)</t>
  </si>
  <si>
    <t>Yield (MJ_EtOH/g_grain)</t>
  </si>
  <si>
    <t>Yield  (MJ/MJ_EtOH)</t>
  </si>
  <si>
    <t>Yield (MJ/MJ_EtOH)</t>
  </si>
  <si>
    <t>(Inputs) MJ/MJ_SAF</t>
  </si>
  <si>
    <t>Iso-butanol (corn)</t>
  </si>
  <si>
    <t>Corn Grain Ethanol</t>
  </si>
  <si>
    <t>Corn Grain Butanol</t>
  </si>
  <si>
    <t>Yield  (MJ/MJ_iBuOH)</t>
  </si>
  <si>
    <t>ICAO. "CORSIA Supporting Document: CORSIA Eligible Fuels─ Life Cycle Assessment Methodology." (2019).</t>
  </si>
  <si>
    <t>https://www.icao.int/environmental-protection/CORSIA/Documents/CORSIA%20Supporting%20Document_CORSIA%20Eligible%20Fuels_LCA%20Methodology.pdf</t>
  </si>
  <si>
    <t>STJ</t>
  </si>
  <si>
    <t>[38]</t>
  </si>
  <si>
    <t>Min</t>
  </si>
  <si>
    <t>Mean</t>
  </si>
  <si>
    <t>Max</t>
  </si>
  <si>
    <t>Moisture (%)</t>
  </si>
  <si>
    <t>RPR Ratios</t>
  </si>
  <si>
    <t>N fertilizer (kg/ha)</t>
  </si>
  <si>
    <t>P fertilizer (kg/ha)</t>
  </si>
  <si>
    <t>K fertilizer (kg/ha)</t>
  </si>
  <si>
    <t>CO2 Use (kg/kg)</t>
  </si>
  <si>
    <t>Corn</t>
  </si>
  <si>
    <t>Useful Unit Conversions</t>
  </si>
  <si>
    <t>1 Btu</t>
  </si>
  <si>
    <t>0.001055 MJ</t>
  </si>
  <si>
    <t>25.4 kg (of corn)</t>
  </si>
  <si>
    <t>1 BU (of corn)</t>
  </si>
  <si>
    <t>1 Btu/BU</t>
  </si>
  <si>
    <t>41.54 J/kg</t>
  </si>
  <si>
    <t>1 lb</t>
  </si>
  <si>
    <t>0.4536 kg</t>
  </si>
  <si>
    <t>Butanol</t>
  </si>
  <si>
    <t>Density (kg/m3)</t>
  </si>
  <si>
    <t>Density (kg/gal)</t>
  </si>
  <si>
    <t>SAF</t>
  </si>
  <si>
    <t>ATJ Ethanol Yield (gal SAF/gal Ethanol)</t>
  </si>
  <si>
    <t>ATJ Butanol Yield (gal SAF/gal Butanol)</t>
  </si>
  <si>
    <t>HEFA (gal SAF/gal Corn Oil)</t>
  </si>
  <si>
    <t>FT (gal SAF/kg of crop feedstock)</t>
  </si>
  <si>
    <t>Water Use (gal/mmBtu fuel)</t>
  </si>
  <si>
    <t>Fuel</t>
  </si>
  <si>
    <t>Water Use (gal/crop dry ton)</t>
  </si>
  <si>
    <t>Water Use - Stover Collection (gal/dry ton)</t>
  </si>
  <si>
    <t>Ethanol Production Water Use (gal H2O/gal EtOH)</t>
  </si>
  <si>
    <t>Farming (MJ/kg crop)</t>
  </si>
  <si>
    <t>Farming Water Use (gal H2O/kg crop)</t>
  </si>
  <si>
    <t>Stover Collection (MJ/kg stover)</t>
  </si>
  <si>
    <t>Stover Collection Water Use (gal H2O/kg stover)</t>
  </si>
  <si>
    <t>Ethanol Yield (gal EtOH/kg crop)</t>
  </si>
  <si>
    <t>Ethanol Energy (MJ/gal EtOH)</t>
  </si>
  <si>
    <t>Butanol Yield (gal BuOH/kg crop)</t>
  </si>
  <si>
    <t>Butanol Energy (MJ/gal BuOH)</t>
  </si>
  <si>
    <t>Corn Oil Yield (gal Oil/kg corn)</t>
  </si>
  <si>
    <t>Corn Oil Energy (MJ/gal Oil)</t>
  </si>
  <si>
    <t>Corn Oil Production Water Use (gal H2O/gal Corn Oil)</t>
  </si>
  <si>
    <t>Butanol Production Water Use (gal H2O/gal BuOH)</t>
  </si>
  <si>
    <t>ATJ Ethanol Energy (MJ/gal SAF)</t>
  </si>
  <si>
    <t>ATJ Butanol Energy (MJ/gal SAF)</t>
  </si>
  <si>
    <t>HEFA Energy (MJ/gal SAF)</t>
  </si>
  <si>
    <t>FT Energy (MJ/gal SAF)</t>
  </si>
  <si>
    <t>Specific Energy (MJ/kg)</t>
  </si>
  <si>
    <t>Energy Density (MJ/gal)</t>
  </si>
  <si>
    <t>Corn Grain</t>
  </si>
  <si>
    <t>-</t>
  </si>
  <si>
    <t>1 kWh</t>
  </si>
  <si>
    <t>MJ</t>
  </si>
  <si>
    <t>Energy Density (mmBtu/gal)</t>
  </si>
  <si>
    <t>Water Use (gal/mmBtu Corn Oil)</t>
  </si>
  <si>
    <t>Water Use (gal/mmBtu Butanol)</t>
  </si>
  <si>
    <t>Water Use (gal H2O/mmBtu Ethanol)</t>
  </si>
  <si>
    <t>Water Use (gal/mmBtu Ethanol)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</si>
</sst>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00"/>
    <numFmt numFmtId="167" formatCode="0.0"/>
  </numFmts>
  <fonts count="10" x14ac:knownFonts="1">
    <font>
      <sz val="12"/>
      <color theme="1"/>
      <name val="Aptos Narrow"/>
      <family val="2"/>
      <scheme val="minor"/>
    </font>
    <font>
      <sz val="12"/>
      <color theme="1"/>
      <name val="Aptos Narrow"/>
      <family val="2"/>
      <scheme val="minor"/>
    </font>
    <font>
      <b/>
      <sz val="12"/>
      <color theme="1"/>
      <name val="Aptos Narrow"/>
      <scheme val="minor"/>
    </font>
    <font>
      <sz val="12"/>
      <color theme="1"/>
      <name val="Aptos Narrow"/>
      <scheme val="minor"/>
    </font>
    <font>
      <sz val="12"/>
      <color theme="1"/>
      <name val="Calibri"/>
      <family val="2"/>
    </font>
    <font>
      <sz val="12"/>
      <color rgb="FF222222"/>
      <name val="Calibri"/>
      <family val="2"/>
    </font>
    <font>
      <sz val="12"/>
      <color rgb="FF000000"/>
      <name val="Aptos Narrow"/>
      <family val="2"/>
      <scheme val="minor"/>
    </font>
    <font>
      <sz val="13"/>
      <color rgb="FF222222"/>
      <name val="Arial"/>
      <family val="2"/>
    </font>
    <font>
      <i/>
      <sz val="13"/>
      <color rgb="FF222222"/>
      <name val="Arial"/>
      <family val="2"/>
    </font>
    <font>
      <i/>
      <sz val="12"/>
      <color rgb="FF222222"/>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117">
    <xf numFmtId="0" fontId="0" fillId="0" borderId="0" xfId="0"/>
    <xf numFmtId="0" fontId="0" fillId="0" borderId="0" xfId="0" applyAlignment="1">
      <alignment horizontal="center"/>
    </xf>
    <xf numFmtId="2" fontId="0" fillId="0" borderId="0" xfId="0" applyNumberFormat="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165" fontId="0" fillId="0" borderId="14" xfId="0" applyNumberFormat="1" applyBorder="1" applyAlignment="1">
      <alignment horizontal="center"/>
    </xf>
    <xf numFmtId="0" fontId="0" fillId="0" borderId="15" xfId="0" applyBorder="1" applyAlignment="1">
      <alignment horizontal="center"/>
    </xf>
    <xf numFmtId="165" fontId="0" fillId="0" borderId="7" xfId="0" applyNumberFormat="1" applyBorder="1" applyAlignment="1">
      <alignment horizontal="center"/>
    </xf>
    <xf numFmtId="2" fontId="2" fillId="0" borderId="0" xfId="0" applyNumberFormat="1" applyFont="1" applyAlignment="1">
      <alignment horizontal="center"/>
    </xf>
    <xf numFmtId="16" fontId="0" fillId="0" borderId="0" xfId="0" applyNumberFormat="1" applyAlignment="1">
      <alignment horizontal="center"/>
    </xf>
    <xf numFmtId="2" fontId="0" fillId="0" borderId="7" xfId="0" applyNumberFormat="1" applyBorder="1" applyAlignment="1">
      <alignment horizontal="center"/>
    </xf>
    <xf numFmtId="2" fontId="2" fillId="0" borderId="7" xfId="0" applyNumberFormat="1" applyFont="1" applyBorder="1" applyAlignment="1">
      <alignment horizontal="center"/>
    </xf>
    <xf numFmtId="0" fontId="0" fillId="0" borderId="16" xfId="0" applyBorder="1"/>
    <xf numFmtId="0" fontId="0" fillId="0" borderId="16" xfId="0" applyBorder="1" applyAlignment="1">
      <alignment horizontal="center"/>
    </xf>
    <xf numFmtId="0" fontId="0" fillId="0" borderId="17" xfId="0" applyBorder="1"/>
    <xf numFmtId="0" fontId="0" fillId="0" borderId="16" xfId="0" applyBorder="1" applyAlignment="1">
      <alignment horizontal="left"/>
    </xf>
    <xf numFmtId="0" fontId="0" fillId="2" borderId="0" xfId="0" applyFill="1"/>
    <xf numFmtId="0" fontId="0" fillId="0" borderId="18" xfId="0" applyBorder="1" applyAlignment="1">
      <alignment horizontal="center"/>
    </xf>
    <xf numFmtId="0" fontId="0" fillId="0" borderId="19" xfId="0" applyBorder="1" applyAlignment="1">
      <alignment horizontal="center"/>
    </xf>
    <xf numFmtId="2" fontId="0" fillId="0" borderId="19" xfId="0" applyNumberFormat="1" applyBorder="1" applyAlignment="1">
      <alignment horizontal="center"/>
    </xf>
    <xf numFmtId="2" fontId="2" fillId="0" borderId="19" xfId="0" applyNumberFormat="1" applyFont="1" applyBorder="1" applyAlignment="1">
      <alignment horizontal="center"/>
    </xf>
    <xf numFmtId="0" fontId="0" fillId="0" borderId="20" xfId="0" applyBorder="1" applyAlignment="1">
      <alignment horizontal="center"/>
    </xf>
    <xf numFmtId="9" fontId="0" fillId="0" borderId="0" xfId="1" applyFont="1" applyBorder="1" applyAlignment="1">
      <alignment horizontal="center"/>
    </xf>
    <xf numFmtId="9" fontId="0" fillId="0" borderId="7" xfId="1" applyFont="1" applyBorder="1" applyAlignment="1">
      <alignment horizontal="center"/>
    </xf>
    <xf numFmtId="0" fontId="2" fillId="0" borderId="0" xfId="0" applyFont="1" applyAlignment="1">
      <alignment horizontal="center"/>
    </xf>
    <xf numFmtId="0" fontId="3" fillId="0" borderId="4" xfId="0" applyFont="1" applyBorder="1" applyAlignment="1">
      <alignment horizontal="center"/>
    </xf>
    <xf numFmtId="0" fontId="3" fillId="0" borderId="0" xfId="0" applyFont="1" applyAlignment="1">
      <alignment horizontal="center"/>
    </xf>
    <xf numFmtId="164" fontId="3" fillId="0" borderId="0" xfId="0" applyNumberFormat="1" applyFont="1" applyAlignment="1">
      <alignment horizontal="center"/>
    </xf>
    <xf numFmtId="2" fontId="3" fillId="0" borderId="0" xfId="0" applyNumberFormat="1" applyFont="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164" fontId="3" fillId="0" borderId="7" xfId="0" applyNumberFormat="1" applyFont="1" applyBorder="1" applyAlignment="1">
      <alignment horizontal="center"/>
    </xf>
    <xf numFmtId="2" fontId="3" fillId="0" borderId="7" xfId="0" applyNumberFormat="1" applyFont="1" applyBorder="1" applyAlignment="1">
      <alignment horizontal="center"/>
    </xf>
    <xf numFmtId="0" fontId="3" fillId="0" borderId="8" xfId="0" applyFont="1" applyBorder="1" applyAlignment="1">
      <alignment horizontal="center"/>
    </xf>
    <xf numFmtId="165" fontId="0" fillId="0" borderId="0" xfId="0" applyNumberFormat="1" applyAlignment="1">
      <alignment horizontal="center"/>
    </xf>
    <xf numFmtId="0" fontId="0" fillId="0" borderId="7" xfId="0" applyBorder="1"/>
    <xf numFmtId="0" fontId="2" fillId="0" borderId="4" xfId="0" applyFont="1" applyBorder="1" applyAlignment="1">
      <alignment horizontal="center"/>
    </xf>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0" fillId="3" borderId="13" xfId="0" applyFill="1" applyBorder="1" applyAlignment="1">
      <alignment horizontal="center"/>
    </xf>
    <xf numFmtId="0" fontId="0" fillId="3" borderId="14" xfId="0" applyFill="1" applyBorder="1" applyAlignment="1">
      <alignment horizontal="center"/>
    </xf>
    <xf numFmtId="0" fontId="0" fillId="3" borderId="15" xfId="0" applyFill="1" applyBorder="1" applyAlignment="1">
      <alignment horizontal="center"/>
    </xf>
    <xf numFmtId="0" fontId="2" fillId="3" borderId="9" xfId="0" applyFont="1" applyFill="1" applyBorder="1" applyAlignment="1">
      <alignment horizontal="center"/>
    </xf>
    <xf numFmtId="0" fontId="0" fillId="0" borderId="5" xfId="0" applyBorder="1"/>
    <xf numFmtId="10" fontId="0" fillId="0" borderId="0" xfId="1" applyNumberFormat="1" applyFont="1" applyBorder="1" applyAlignment="1">
      <alignment horizontal="center"/>
    </xf>
    <xf numFmtId="16" fontId="0" fillId="0" borderId="14" xfId="0" applyNumberFormat="1" applyBorder="1" applyAlignment="1">
      <alignment horizontal="center"/>
    </xf>
    <xf numFmtId="0" fontId="6" fillId="0" borderId="4" xfId="0" applyFont="1" applyBorder="1" applyAlignment="1">
      <alignment horizontal="center"/>
    </xf>
    <xf numFmtId="0" fontId="4" fillId="0" borderId="4" xfId="0" applyFont="1" applyBorder="1" applyAlignment="1">
      <alignment horizontal="center" vertical="center"/>
    </xf>
    <xf numFmtId="0" fontId="5" fillId="0" borderId="0" xfId="0" applyFont="1" applyAlignment="1">
      <alignment horizontal="center" vertical="center" wrapText="1"/>
    </xf>
    <xf numFmtId="0" fontId="4" fillId="0" borderId="0" xfId="0" applyFont="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0" fillId="0" borderId="6" xfId="0" applyBorder="1" applyAlignment="1">
      <alignment horizontal="center" vertical="center" wrapText="1"/>
    </xf>
    <xf numFmtId="0" fontId="4" fillId="0" borderId="7" xfId="0" applyFont="1" applyBorder="1" applyAlignment="1">
      <alignment horizontal="center" vertical="center" wrapText="1"/>
    </xf>
    <xf numFmtId="0" fontId="0" fillId="2" borderId="0" xfId="0" applyFill="1" applyAlignment="1">
      <alignment horizontal="center"/>
    </xf>
    <xf numFmtId="0" fontId="4" fillId="0" borderId="4" xfId="0" applyFont="1" applyBorder="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vertical="center" wrapText="1"/>
    </xf>
    <xf numFmtId="4" fontId="0" fillId="0" borderId="0" xfId="0" applyNumberFormat="1" applyAlignment="1">
      <alignment horizontal="center"/>
    </xf>
    <xf numFmtId="4" fontId="0" fillId="0" borderId="8" xfId="0" applyNumberFormat="1" applyBorder="1" applyAlignment="1">
      <alignment horizontal="center"/>
    </xf>
    <xf numFmtId="0" fontId="2" fillId="3" borderId="13" xfId="0" applyFont="1" applyFill="1" applyBorder="1" applyAlignment="1">
      <alignment horizontal="center"/>
    </xf>
    <xf numFmtId="0" fontId="2" fillId="3" borderId="14" xfId="0" applyFont="1" applyFill="1" applyBorder="1" applyAlignment="1">
      <alignment horizontal="center"/>
    </xf>
    <xf numFmtId="0" fontId="2" fillId="3" borderId="15" xfId="0" applyFont="1" applyFill="1" applyBorder="1" applyAlignment="1">
      <alignment horizontal="center"/>
    </xf>
    <xf numFmtId="3" fontId="0" fillId="0" borderId="0" xfId="0" applyNumberFormat="1" applyAlignment="1">
      <alignment horizontal="center"/>
    </xf>
    <xf numFmtId="3" fontId="0" fillId="0" borderId="7" xfId="0" applyNumberFormat="1" applyBorder="1" applyAlignment="1">
      <alignment horizontal="center"/>
    </xf>
    <xf numFmtId="4" fontId="0" fillId="0" borderId="7" xfId="0" applyNumberFormat="1" applyBorder="1" applyAlignment="1">
      <alignment horizontal="center"/>
    </xf>
    <xf numFmtId="166" fontId="0" fillId="0" borderId="7" xfId="0" applyNumberFormat="1" applyBorder="1" applyAlignment="1">
      <alignment horizontal="center"/>
    </xf>
    <xf numFmtId="3" fontId="0" fillId="2" borderId="0" xfId="0" applyNumberFormat="1" applyFill="1"/>
    <xf numFmtId="165" fontId="0" fillId="0" borderId="5" xfId="0" applyNumberFormat="1" applyBorder="1" applyAlignment="1">
      <alignment horizontal="center"/>
    </xf>
    <xf numFmtId="165" fontId="0" fillId="0" borderId="8" xfId="0" applyNumberFormat="1" applyBorder="1" applyAlignment="1">
      <alignment horizontal="center"/>
    </xf>
    <xf numFmtId="167" fontId="0" fillId="0" borderId="0" xfId="0" applyNumberFormat="1" applyAlignment="1">
      <alignment horizontal="center"/>
    </xf>
    <xf numFmtId="167" fontId="0" fillId="0" borderId="5" xfId="0" applyNumberFormat="1" applyBorder="1" applyAlignment="1">
      <alignment horizontal="center"/>
    </xf>
    <xf numFmtId="0" fontId="0" fillId="0" borderId="8" xfId="0" applyBorder="1"/>
    <xf numFmtId="0" fontId="0" fillId="0" borderId="22" xfId="0" applyBorder="1"/>
    <xf numFmtId="0" fontId="0" fillId="0" borderId="23" xfId="0" applyBorder="1"/>
    <xf numFmtId="0" fontId="2" fillId="3" borderId="21" xfId="0" applyFont="1" applyFill="1" applyBorder="1"/>
    <xf numFmtId="0" fontId="2" fillId="3" borderId="2" xfId="0" applyFont="1" applyFill="1" applyBorder="1"/>
    <xf numFmtId="0" fontId="2" fillId="3" borderId="24" xfId="0" applyFont="1" applyFill="1" applyBorder="1"/>
    <xf numFmtId="0" fontId="0" fillId="2" borderId="22" xfId="0" applyFill="1" applyBorder="1"/>
    <xf numFmtId="0" fontId="0" fillId="2" borderId="5" xfId="0" applyFill="1" applyBorder="1"/>
    <xf numFmtId="0" fontId="0" fillId="2" borderId="5" xfId="0" applyFill="1" applyBorder="1" applyAlignment="1">
      <alignment horizontal="center"/>
    </xf>
    <xf numFmtId="165" fontId="0" fillId="2" borderId="0" xfId="0" applyNumberFormat="1" applyFill="1" applyAlignment="1">
      <alignment horizontal="center"/>
    </xf>
    <xf numFmtId="0" fontId="0" fillId="4" borderId="0" xfId="0" applyFill="1" applyAlignment="1">
      <alignment horizontal="center"/>
    </xf>
    <xf numFmtId="0" fontId="0" fillId="4" borderId="0" xfId="0" applyFill="1"/>
    <xf numFmtId="0" fontId="0" fillId="4" borderId="7" xfId="0" applyFill="1" applyBorder="1"/>
    <xf numFmtId="0" fontId="2" fillId="3" borderId="2" xfId="0" applyFont="1" applyFill="1" applyBorder="1" applyAlignment="1">
      <alignment horizontal="center"/>
    </xf>
    <xf numFmtId="0" fontId="2" fillId="3" borderId="3" xfId="0" applyFont="1" applyFill="1" applyBorder="1" applyAlignment="1">
      <alignment horizontal="center"/>
    </xf>
    <xf numFmtId="0" fontId="0" fillId="0" borderId="0" xfId="0" applyAlignment="1">
      <alignment horizontal="center" vertical="center" wrapText="1"/>
    </xf>
    <xf numFmtId="0" fontId="0" fillId="0" borderId="5" xfId="0" applyBorder="1" applyAlignment="1">
      <alignment horizontal="center" vertical="center" wrapText="1"/>
    </xf>
    <xf numFmtId="0" fontId="4" fillId="0" borderId="0" xfId="0" applyFont="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xf>
    <xf numFmtId="0" fontId="4" fillId="0" borderId="5" xfId="0" applyFont="1"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5" fillId="0" borderId="0" xfId="0" applyFont="1" applyAlignment="1">
      <alignment horizontal="center" vertical="center" wrapText="1"/>
    </xf>
    <xf numFmtId="0" fontId="5" fillId="0" borderId="5" xfId="0" applyFont="1" applyBorder="1" applyAlignment="1">
      <alignment horizontal="center" vertical="center" wrapText="1"/>
    </xf>
    <xf numFmtId="0" fontId="2" fillId="3" borderId="10" xfId="0" applyFont="1" applyFill="1" applyBorder="1" applyAlignment="1">
      <alignment horizontal="center"/>
    </xf>
    <xf numFmtId="0" fontId="2" fillId="3" borderId="1" xfId="0" applyFont="1" applyFill="1" applyBorder="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23305-2F27-6E4F-8628-398196478BC1}">
  <dimension ref="A1:L35"/>
  <sheetViews>
    <sheetView zoomScale="116" workbookViewId="0">
      <selection activeCell="C17" sqref="C17"/>
    </sheetView>
  </sheetViews>
  <sheetFormatPr baseColWidth="10" defaultRowHeight="16" x14ac:dyDescent="0.2"/>
  <cols>
    <col min="1" max="1" width="48.1640625" customWidth="1"/>
    <col min="3" max="3" width="13.1640625" bestFit="1" customWidth="1"/>
    <col min="4" max="4" width="14.1640625" customWidth="1"/>
    <col min="5" max="5" width="4.33203125" customWidth="1"/>
    <col min="9" max="9" width="4.1640625" customWidth="1"/>
    <col min="14" max="14" width="16.5" customWidth="1"/>
  </cols>
  <sheetData>
    <row r="1" spans="1:12" x14ac:dyDescent="0.2">
      <c r="A1" s="87" t="s">
        <v>153</v>
      </c>
      <c r="B1" s="97" t="s">
        <v>329</v>
      </c>
      <c r="C1" s="97"/>
      <c r="D1" s="97"/>
      <c r="E1" s="88"/>
      <c r="F1" s="97" t="s">
        <v>59</v>
      </c>
      <c r="G1" s="97"/>
      <c r="H1" s="97"/>
      <c r="I1" s="88"/>
      <c r="J1" s="97" t="s">
        <v>98</v>
      </c>
      <c r="K1" s="97"/>
      <c r="L1" s="98"/>
    </row>
    <row r="2" spans="1:12" x14ac:dyDescent="0.2">
      <c r="A2" s="89"/>
      <c r="B2" s="73" t="s">
        <v>320</v>
      </c>
      <c r="C2" s="73" t="s">
        <v>321</v>
      </c>
      <c r="D2" s="73" t="s">
        <v>322</v>
      </c>
      <c r="E2" s="73"/>
      <c r="F2" s="73" t="s">
        <v>320</v>
      </c>
      <c r="G2" s="73" t="s">
        <v>321</v>
      </c>
      <c r="H2" s="73" t="s">
        <v>322</v>
      </c>
      <c r="I2" s="73"/>
      <c r="J2" s="73" t="s">
        <v>320</v>
      </c>
      <c r="K2" s="73" t="s">
        <v>321</v>
      </c>
      <c r="L2" s="74" t="s">
        <v>322</v>
      </c>
    </row>
    <row r="3" spans="1:12" x14ac:dyDescent="0.2">
      <c r="A3" s="85" t="s">
        <v>78</v>
      </c>
      <c r="B3" s="82">
        <f>MIN('Corn Data'!G36:G41)</f>
        <v>356.51997766809455</v>
      </c>
      <c r="C3" s="82">
        <f>AVERAGE('Corn Data'!G36:G41)</f>
        <v>488.2632510043743</v>
      </c>
      <c r="D3" s="82">
        <f>MAX('Corn Data'!G36:G41)</f>
        <v>774.19354838709683</v>
      </c>
      <c r="E3" s="94"/>
      <c r="F3" s="82">
        <f>MIN('Energy Crops Data'!K7:K8,'Energy Crops Data'!K10)</f>
        <v>621.6328222130129</v>
      </c>
      <c r="G3" s="82">
        <f>AVERAGE('Energy Crops Data'!K7:K8,'Energy Crops Data'!K10)</f>
        <v>649.3472855366764</v>
      </c>
      <c r="H3" s="82">
        <f>MAX('Energy Crops Data'!K7:K8,'Energy Crops Data'!K10)</f>
        <v>677.06174886033989</v>
      </c>
      <c r="I3" s="94"/>
      <c r="J3" s="82">
        <f>MIN('Energy Crops Data'!K18:K20)</f>
        <v>362.20472440944883</v>
      </c>
      <c r="K3" s="82">
        <f>AVERAGE('Energy Crops Data'!K18:K20)</f>
        <v>405.32433445819271</v>
      </c>
      <c r="L3" s="83">
        <f>MAX('Energy Crops Data'!K18:K20)</f>
        <v>448.44394450693665</v>
      </c>
    </row>
    <row r="4" spans="1:12" x14ac:dyDescent="0.2">
      <c r="A4" s="85" t="s">
        <v>328</v>
      </c>
      <c r="B4" s="82">
        <f>B3*0.7*44/18</f>
        <v>610.04529512096178</v>
      </c>
      <c r="C4" s="82">
        <f t="shared" ref="C4" si="0">C3*0.7*44/18</f>
        <v>835.47267394081825</v>
      </c>
      <c r="D4" s="82">
        <f>D3*0.7*44/18</f>
        <v>1324.7311827956989</v>
      </c>
      <c r="E4" s="94"/>
      <c r="F4" s="82">
        <f>F3*0.7*44/18</f>
        <v>1063.6828291200443</v>
      </c>
      <c r="G4" s="82">
        <f t="shared" ref="G4" si="1">G3*0.7*44/18</f>
        <v>1111.1053552516462</v>
      </c>
      <c r="H4" s="82">
        <f>H3*0.7*44/18</f>
        <v>1158.5278813832481</v>
      </c>
      <c r="I4" s="94"/>
      <c r="J4" s="82">
        <f>J3*0.7*44/18</f>
        <v>619.77252843394569</v>
      </c>
      <c r="K4" s="82">
        <f t="shared" ref="K4:L4" si="2">K3*0.7*44/18</f>
        <v>693.55497229512957</v>
      </c>
      <c r="L4" s="83">
        <f t="shared" si="2"/>
        <v>767.33741615631379</v>
      </c>
    </row>
    <row r="5" spans="1:12" x14ac:dyDescent="0.2">
      <c r="A5" s="85" t="s">
        <v>323</v>
      </c>
      <c r="B5" s="82">
        <f>MIN('Corn Data'!B57,'Corn Data'!B59)</f>
        <v>10.4</v>
      </c>
      <c r="C5" s="82">
        <f>AVERAGE('Corn Data'!B57,'Corn Data'!B59)</f>
        <v>12.05</v>
      </c>
      <c r="D5" s="82">
        <f>MAX('Corn Data'!B57,'Corn Data'!B59)</f>
        <v>13.7</v>
      </c>
      <c r="E5" s="94"/>
      <c r="F5" s="82"/>
      <c r="G5" s="82">
        <v>10</v>
      </c>
      <c r="H5" s="82"/>
      <c r="I5" s="94"/>
      <c r="J5" s="82"/>
      <c r="K5" s="82">
        <v>10</v>
      </c>
      <c r="L5" s="83"/>
    </row>
    <row r="6" spans="1:12" x14ac:dyDescent="0.2">
      <c r="A6" s="85" t="s">
        <v>324</v>
      </c>
      <c r="B6" s="82">
        <f>MIN(1.08,0.82,1.08,1.04,0.96)</f>
        <v>0.82</v>
      </c>
      <c r="C6" s="82">
        <f>AVERAGE(1.08,0.82,1.08,1.04,0.96)</f>
        <v>0.99599999999999989</v>
      </c>
      <c r="D6" s="82">
        <f>MAX(1.08,0.82,1.08,1.04,0.96)</f>
        <v>1.08</v>
      </c>
      <c r="E6" s="94"/>
      <c r="F6" s="82"/>
      <c r="G6" s="82"/>
      <c r="H6" s="82"/>
      <c r="I6" s="94"/>
      <c r="J6" s="82"/>
      <c r="K6" s="82"/>
      <c r="L6" s="83"/>
    </row>
    <row r="7" spans="1:12" x14ac:dyDescent="0.2">
      <c r="A7" s="85" t="s">
        <v>325</v>
      </c>
      <c r="B7" s="82">
        <f>MIN('Corn Data'!C2:C10)</f>
        <v>110</v>
      </c>
      <c r="C7" s="82">
        <f>AVERAGE('Corn Data'!C2:C10)</f>
        <v>157.22222222222223</v>
      </c>
      <c r="D7" s="82">
        <f>MAX('Corn Data'!C2:C10)</f>
        <v>240</v>
      </c>
      <c r="E7" s="94"/>
      <c r="F7" s="82"/>
      <c r="G7" s="82">
        <v>80</v>
      </c>
      <c r="H7" s="82"/>
      <c r="I7" s="94"/>
      <c r="J7" s="82"/>
      <c r="K7" s="82">
        <v>80</v>
      </c>
      <c r="L7" s="83"/>
    </row>
    <row r="8" spans="1:12" x14ac:dyDescent="0.2">
      <c r="A8" s="85" t="s">
        <v>326</v>
      </c>
      <c r="B8" s="82">
        <f>MIN('Corn Data'!D2:D10)</f>
        <v>42</v>
      </c>
      <c r="C8" s="82">
        <f>AVERAGE('Corn Data'!D2:D10)</f>
        <v>59.333333333333336</v>
      </c>
      <c r="D8" s="82">
        <f>MAX('Corn Data'!D2:D10)</f>
        <v>93</v>
      </c>
      <c r="E8" s="94"/>
      <c r="F8" s="82"/>
      <c r="G8" s="82">
        <v>60</v>
      </c>
      <c r="H8" s="82"/>
      <c r="I8" s="94"/>
      <c r="J8" s="82"/>
      <c r="K8" s="82">
        <v>60</v>
      </c>
      <c r="L8" s="83"/>
    </row>
    <row r="9" spans="1:12" x14ac:dyDescent="0.2">
      <c r="A9" s="85" t="s">
        <v>327</v>
      </c>
      <c r="B9" s="82">
        <f>MIN('Corn Data'!E2:E10)</f>
        <v>21</v>
      </c>
      <c r="C9" s="82">
        <f>AVERAGE('Corn Data'!E2:E10)</f>
        <v>89.555555555555557</v>
      </c>
      <c r="D9" s="82">
        <f>MAX('Corn Data'!E2:E10)</f>
        <v>200</v>
      </c>
      <c r="E9" s="94"/>
      <c r="F9" s="82"/>
      <c r="G9" s="82">
        <v>40</v>
      </c>
      <c r="H9" s="82"/>
      <c r="I9" s="94"/>
      <c r="J9" s="82"/>
      <c r="K9" s="82">
        <v>40</v>
      </c>
      <c r="L9" s="83"/>
    </row>
    <row r="10" spans="1:12" x14ac:dyDescent="0.2">
      <c r="A10" s="90"/>
      <c r="B10" s="21"/>
      <c r="C10" s="21"/>
      <c r="D10" s="21"/>
      <c r="E10" s="21"/>
      <c r="F10" s="21"/>
      <c r="G10" s="21"/>
      <c r="H10" s="21"/>
      <c r="I10" s="21"/>
      <c r="J10" s="21"/>
      <c r="K10" s="21"/>
      <c r="L10" s="91"/>
    </row>
    <row r="11" spans="1:12" x14ac:dyDescent="0.2">
      <c r="A11" s="85" t="s">
        <v>352</v>
      </c>
      <c r="B11" s="1"/>
      <c r="C11" s="40">
        <f>'Conversion Factors Data'!B3*41.54/(10^6)</f>
        <v>0.36933214000000003</v>
      </c>
      <c r="D11" s="1"/>
      <c r="E11" s="95"/>
      <c r="G11" s="40">
        <f>'Conversion Factors Data'!B12*0.001055/1000</f>
        <v>7.1156584999999994E-2</v>
      </c>
      <c r="H11" s="1"/>
      <c r="I11" s="94"/>
      <c r="J11" s="1"/>
      <c r="K11" s="40">
        <f>'Conversion Factors Data'!B18*0.001055/1000</f>
        <v>5.4484419999999999E-2</v>
      </c>
      <c r="L11" s="53"/>
    </row>
    <row r="12" spans="1:12" x14ac:dyDescent="0.2">
      <c r="A12" s="85" t="s">
        <v>353</v>
      </c>
      <c r="B12" s="1"/>
      <c r="C12" s="40">
        <f>146/25.4</f>
        <v>5.7480314960629926</v>
      </c>
      <c r="D12" s="1"/>
      <c r="E12" s="95"/>
      <c r="G12" s="1">
        <f>'Conversion Factors Data'!B14/1000</f>
        <v>2.2890000000000001</v>
      </c>
      <c r="H12" s="1"/>
      <c r="I12" s="94"/>
      <c r="J12" s="1"/>
      <c r="K12" s="1">
        <f>'Conversion Factors Data'!B20/1000</f>
        <v>1.752</v>
      </c>
      <c r="L12" s="53"/>
    </row>
    <row r="13" spans="1:12" x14ac:dyDescent="0.2">
      <c r="A13" s="85" t="s">
        <v>354</v>
      </c>
      <c r="B13" s="1"/>
      <c r="C13" s="40">
        <f>'Conversion Factors Data'!J7*0.001055/1000</f>
        <v>0.23588956</v>
      </c>
      <c r="D13" s="1"/>
      <c r="E13" s="95"/>
      <c r="I13" s="95"/>
      <c r="L13" s="53"/>
    </row>
    <row r="14" spans="1:12" x14ac:dyDescent="0.2">
      <c r="A14" s="85" t="s">
        <v>355</v>
      </c>
      <c r="B14" s="1"/>
      <c r="C14" s="40">
        <f>'Conversion Factors Data'!B46/1000</f>
        <v>5.2119999999999997</v>
      </c>
      <c r="D14" s="1"/>
      <c r="E14" s="95"/>
      <c r="I14" s="95"/>
      <c r="L14" s="53"/>
    </row>
    <row r="15" spans="1:12" x14ac:dyDescent="0.2">
      <c r="A15" s="90"/>
      <c r="B15" s="66"/>
      <c r="C15" s="66"/>
      <c r="D15" s="66"/>
      <c r="E15" s="21"/>
      <c r="F15" s="21"/>
      <c r="G15" s="21"/>
      <c r="H15" s="21"/>
      <c r="I15" s="21"/>
      <c r="J15" s="21"/>
      <c r="K15" s="21"/>
      <c r="L15" s="91"/>
    </row>
    <row r="16" spans="1:12" x14ac:dyDescent="0.2">
      <c r="A16" s="85" t="s">
        <v>356</v>
      </c>
      <c r="B16" s="40">
        <f>MIN('Conversion Factors Data'!B26:D26)/25.4</f>
        <v>0.10787401574803152</v>
      </c>
      <c r="C16" s="40">
        <f>AVERAGE('Conversion Factors Data'!B26:D26)/25.4</f>
        <v>0.11076115485564304</v>
      </c>
      <c r="D16" s="40">
        <f>MAX('Conversion Factors Data'!B26:D26)/25.4</f>
        <v>0.1125984251968504</v>
      </c>
      <c r="E16" s="95"/>
      <c r="F16" s="40"/>
      <c r="G16" s="40">
        <f t="shared" ref="F16:H17" si="3">C16</f>
        <v>0.11076115485564304</v>
      </c>
      <c r="H16" s="40"/>
      <c r="I16" s="95"/>
      <c r="J16" s="40"/>
      <c r="K16" s="40">
        <f t="shared" ref="J16:L17" si="4">C16</f>
        <v>0.11076115485564304</v>
      </c>
      <c r="L16" s="80"/>
    </row>
    <row r="17" spans="1:12" x14ac:dyDescent="0.2">
      <c r="A17" s="85" t="s">
        <v>357</v>
      </c>
      <c r="B17" s="40">
        <f>MIN('Conversion Factors Data'!B24:D24)*0.001055</f>
        <v>25.929789999999997</v>
      </c>
      <c r="C17" s="40">
        <f>AVERAGE('Conversion Factors Data'!B24:D24)*0.001055</f>
        <v>34.119051666666664</v>
      </c>
      <c r="D17" s="40">
        <f>MAX('Conversion Factors Data'!B24:D24)*0.001055</f>
        <v>50.016494999999999</v>
      </c>
      <c r="E17" s="95"/>
      <c r="F17" s="40"/>
      <c r="G17" s="40">
        <f t="shared" si="3"/>
        <v>34.119051666666664</v>
      </c>
      <c r="H17" s="40"/>
      <c r="I17" s="95"/>
      <c r="J17" s="40"/>
      <c r="K17" s="40">
        <f t="shared" si="4"/>
        <v>34.119051666666664</v>
      </c>
      <c r="L17" s="80"/>
    </row>
    <row r="18" spans="1:12" x14ac:dyDescent="0.2">
      <c r="A18" s="85" t="s">
        <v>351</v>
      </c>
      <c r="B18" s="82">
        <f>'Conversion Factors Data'!B28*'Conversion Factors Data'!$P$39</f>
        <v>0.28001638578199051</v>
      </c>
      <c r="C18" s="40">
        <f>'Conversion Factors Data'!C28*'Conversion Factors Data'!$P$39</f>
        <v>0.27942776274881514</v>
      </c>
      <c r="D18" s="82">
        <f>'Conversion Factors Data'!D28*'Conversion Factors Data'!$P$39</f>
        <v>0.36023729630331752</v>
      </c>
      <c r="E18" s="95"/>
      <c r="F18" s="82"/>
      <c r="G18" s="82">
        <f>C18</f>
        <v>0.27942776274881514</v>
      </c>
      <c r="H18" s="82"/>
      <c r="I18" s="95"/>
      <c r="J18" s="82"/>
      <c r="K18" s="82">
        <f>C18</f>
        <v>0.27942776274881514</v>
      </c>
      <c r="L18" s="83"/>
    </row>
    <row r="19" spans="1:12" x14ac:dyDescent="0.2">
      <c r="A19" s="90"/>
      <c r="B19" s="66"/>
      <c r="C19" s="66"/>
      <c r="D19" s="66"/>
      <c r="E19" s="21"/>
      <c r="F19" s="66"/>
      <c r="G19" s="66"/>
      <c r="H19" s="66"/>
      <c r="I19" s="21"/>
      <c r="J19" s="66"/>
      <c r="K19" s="66"/>
      <c r="L19" s="92"/>
    </row>
    <row r="20" spans="1:12" x14ac:dyDescent="0.2">
      <c r="A20" s="85" t="s">
        <v>358</v>
      </c>
      <c r="B20" s="1"/>
      <c r="C20" s="40">
        <f>'Conversion Factors Data'!B38/25.4</f>
        <v>5.9055118110236227E-2</v>
      </c>
      <c r="D20" s="1"/>
      <c r="E20" s="95"/>
      <c r="F20" s="1"/>
      <c r="G20" s="40"/>
      <c r="H20" s="1"/>
      <c r="I20" s="95"/>
      <c r="J20" s="1"/>
      <c r="K20" s="40"/>
      <c r="L20" s="4"/>
    </row>
    <row r="21" spans="1:12" x14ac:dyDescent="0.2">
      <c r="A21" s="85" t="s">
        <v>359</v>
      </c>
      <c r="B21" s="1"/>
      <c r="C21" s="40">
        <f>'Conversion Factors Data'!B37*0.001055</f>
        <v>51.093649999999997</v>
      </c>
      <c r="D21" s="1"/>
      <c r="E21" s="95"/>
      <c r="F21" s="1"/>
      <c r="G21" s="40"/>
      <c r="H21" s="1"/>
      <c r="I21" s="95"/>
      <c r="J21" s="1"/>
      <c r="K21" s="40"/>
      <c r="L21" s="4"/>
    </row>
    <row r="22" spans="1:12" x14ac:dyDescent="0.2">
      <c r="A22" s="85" t="s">
        <v>363</v>
      </c>
      <c r="B22" s="1"/>
      <c r="C22" s="40">
        <f>'Conversion Factors Data'!B40*'Conversion Factors Data'!$P$40</f>
        <v>6.1462692511848327E-2</v>
      </c>
      <c r="D22" s="1"/>
      <c r="E22" s="95"/>
      <c r="F22" s="1"/>
      <c r="G22" s="40"/>
      <c r="H22" s="1"/>
      <c r="I22" s="95"/>
      <c r="J22" s="1"/>
      <c r="K22" s="40"/>
      <c r="L22" s="4"/>
    </row>
    <row r="23" spans="1:12" x14ac:dyDescent="0.2">
      <c r="A23" s="90"/>
      <c r="B23" s="66"/>
      <c r="C23" s="93"/>
      <c r="D23" s="66"/>
      <c r="E23" s="21"/>
      <c r="F23" s="66"/>
      <c r="G23" s="93"/>
      <c r="H23" s="66"/>
      <c r="I23" s="21"/>
      <c r="J23" s="66"/>
      <c r="K23" s="93"/>
      <c r="L23" s="92"/>
    </row>
    <row r="24" spans="1:12" x14ac:dyDescent="0.2">
      <c r="A24" s="85" t="s">
        <v>360</v>
      </c>
      <c r="B24" s="1"/>
      <c r="C24" s="40">
        <f>'Conversion Factors Data'!B32*0.4536/25.4/3.483</f>
        <v>3.9992675334187882E-3</v>
      </c>
      <c r="D24" s="1"/>
      <c r="E24" s="95"/>
      <c r="F24" s="1"/>
      <c r="G24" s="40"/>
      <c r="H24" s="1"/>
      <c r="I24" s="95"/>
      <c r="J24" s="1"/>
      <c r="K24" s="40"/>
      <c r="L24" s="4"/>
    </row>
    <row r="25" spans="1:12" x14ac:dyDescent="0.2">
      <c r="A25" s="85" t="s">
        <v>361</v>
      </c>
      <c r="B25" s="1"/>
      <c r="C25" s="40">
        <f>3.483*'Conversion Factors Data'!B31*0.001055/0.4536</f>
        <v>1.4824633928571429</v>
      </c>
      <c r="D25" s="1"/>
      <c r="E25" s="95"/>
      <c r="F25" s="1"/>
      <c r="G25" s="40"/>
      <c r="H25" s="1"/>
      <c r="I25" s="95"/>
      <c r="J25" s="1"/>
      <c r="K25" s="40"/>
      <c r="L25" s="4"/>
    </row>
    <row r="26" spans="1:12" x14ac:dyDescent="0.2">
      <c r="A26" s="85" t="s">
        <v>362</v>
      </c>
      <c r="B26" s="1"/>
      <c r="C26" s="40">
        <f>'Conversion Factors Data'!B34*'Conversion Factors Data'!$P$41</f>
        <v>7.4304770331753561E-2</v>
      </c>
      <c r="D26" s="1"/>
      <c r="E26" s="95"/>
      <c r="F26" s="1"/>
      <c r="G26" s="40"/>
      <c r="H26" s="1"/>
      <c r="I26" s="95"/>
      <c r="J26" s="1"/>
      <c r="K26" s="40"/>
      <c r="L26" s="4"/>
    </row>
    <row r="27" spans="1:12" x14ac:dyDescent="0.2">
      <c r="A27" s="90"/>
      <c r="B27" s="66"/>
      <c r="C27" s="66"/>
      <c r="D27" s="66"/>
      <c r="E27" s="21"/>
      <c r="F27" s="66"/>
      <c r="G27" s="66"/>
      <c r="H27" s="66"/>
      <c r="I27" s="21"/>
      <c r="J27" s="66"/>
      <c r="K27" s="66"/>
      <c r="L27" s="92"/>
    </row>
    <row r="28" spans="1:12" x14ac:dyDescent="0.2">
      <c r="A28" s="85" t="s">
        <v>343</v>
      </c>
      <c r="B28" s="1"/>
      <c r="C28" s="40">
        <f>'Conversion Factors Data'!O2*'Conversion Factors Data'!O33/'Conversion Factors Data'!O36</f>
        <v>0.58625386996904028</v>
      </c>
      <c r="D28" s="1"/>
      <c r="E28" s="95"/>
      <c r="F28" s="1"/>
      <c r="G28" s="40">
        <f>C28</f>
        <v>0.58625386996904028</v>
      </c>
      <c r="H28" s="1"/>
      <c r="I28" s="95"/>
      <c r="J28" s="1"/>
      <c r="K28" s="40">
        <f>C28</f>
        <v>0.58625386996904028</v>
      </c>
      <c r="L28" s="4"/>
    </row>
    <row r="29" spans="1:12" x14ac:dyDescent="0.2">
      <c r="A29" s="85" t="s">
        <v>364</v>
      </c>
      <c r="C29" s="1">
        <f>'Conversion Factors Data'!Q10*131.44</f>
        <v>19.321679999999997</v>
      </c>
      <c r="D29" s="1"/>
      <c r="E29" s="95"/>
      <c r="G29" s="1">
        <f>C29</f>
        <v>19.321679999999997</v>
      </c>
      <c r="H29" s="1"/>
      <c r="I29" s="95"/>
      <c r="K29" s="1">
        <f>C29</f>
        <v>19.321679999999997</v>
      </c>
      <c r="L29" s="4"/>
    </row>
    <row r="30" spans="1:12" x14ac:dyDescent="0.2">
      <c r="A30" s="85" t="s">
        <v>344</v>
      </c>
      <c r="B30" s="1"/>
      <c r="C30" s="40">
        <f>'Conversion Factors Data'!O3*'Conversion Factors Data'!O34/'Conversion Factors Data'!O36</f>
        <v>0.75232198142414852</v>
      </c>
      <c r="D30" s="1"/>
      <c r="E30" s="95"/>
      <c r="F30" s="1"/>
      <c r="G30" s="40"/>
      <c r="H30" s="1"/>
      <c r="I30" s="95"/>
      <c r="J30" s="1"/>
      <c r="K30" s="40"/>
      <c r="L30" s="4"/>
    </row>
    <row r="31" spans="1:12" x14ac:dyDescent="0.2">
      <c r="A31" s="85" t="s">
        <v>365</v>
      </c>
      <c r="C31" s="1">
        <f>'Conversion Factors Data'!Q12*131.44</f>
        <v>28.259599999999999</v>
      </c>
      <c r="D31" s="1"/>
      <c r="E31" s="95"/>
      <c r="G31" s="1"/>
      <c r="H31" s="1"/>
      <c r="I31" s="95"/>
      <c r="K31" s="1"/>
      <c r="L31" s="4"/>
    </row>
    <row r="32" spans="1:12" x14ac:dyDescent="0.2">
      <c r="A32" s="85" t="s">
        <v>345</v>
      </c>
      <c r="B32" s="1"/>
      <c r="C32" s="40">
        <f>'Conversion Factors Data'!O4*'Conversion Factors Data'!O35/'Conversion Factors Data'!O36</f>
        <v>0.94563467492260056</v>
      </c>
      <c r="E32" s="95"/>
      <c r="F32" s="1"/>
      <c r="G32" s="40"/>
      <c r="I32" s="95"/>
      <c r="J32" s="1"/>
      <c r="K32" s="40"/>
      <c r="L32" s="53"/>
    </row>
    <row r="33" spans="1:12" x14ac:dyDescent="0.2">
      <c r="A33" s="85" t="s">
        <v>366</v>
      </c>
      <c r="B33" s="1"/>
      <c r="C33" s="40">
        <f>'Conversion Factors Data'!Q17*131.44</f>
        <v>18.795919999999999</v>
      </c>
      <c r="E33" s="95"/>
      <c r="F33" s="1"/>
      <c r="G33" s="40"/>
      <c r="I33" s="95"/>
      <c r="J33" s="1"/>
      <c r="K33" s="40"/>
      <c r="L33" s="53"/>
    </row>
    <row r="34" spans="1:12" x14ac:dyDescent="0.2">
      <c r="A34" s="85" t="s">
        <v>346</v>
      </c>
      <c r="B34" s="1"/>
      <c r="C34" s="40">
        <f>'Conversion Factors Data'!O5/'Conversion Factors Data'!O36</f>
        <v>4.5800718266253884E-2</v>
      </c>
      <c r="E34" s="95"/>
      <c r="F34" s="1"/>
      <c r="G34" s="40">
        <f>C34</f>
        <v>4.5800718266253884E-2</v>
      </c>
      <c r="I34" s="95"/>
      <c r="J34" s="1"/>
      <c r="K34" s="40">
        <f>C34</f>
        <v>4.5800718266253884E-2</v>
      </c>
      <c r="L34" s="53"/>
    </row>
    <row r="35" spans="1:12" ht="17" thickBot="1" x14ac:dyDescent="0.25">
      <c r="A35" s="86" t="s">
        <v>367</v>
      </c>
      <c r="B35" s="41" t="s">
        <v>303</v>
      </c>
      <c r="C35" s="6">
        <f>AVERAGE('Conversion Factors Data'!Q18:Q20)*131.44</f>
        <v>166.53448</v>
      </c>
      <c r="D35" s="41"/>
      <c r="E35" s="96"/>
      <c r="F35" s="41" t="s">
        <v>303</v>
      </c>
      <c r="G35" s="6">
        <f>C35</f>
        <v>166.53448</v>
      </c>
      <c r="H35" s="41"/>
      <c r="I35" s="96"/>
      <c r="J35" s="41" t="s">
        <v>303</v>
      </c>
      <c r="K35" s="6">
        <f>C35</f>
        <v>166.53448</v>
      </c>
      <c r="L35" s="84"/>
    </row>
  </sheetData>
  <mergeCells count="3">
    <mergeCell ref="B1:D1"/>
    <mergeCell ref="F1:H1"/>
    <mergeCell ref="J1:L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FBD59-B5A9-DF45-A986-53713BB201C7}">
  <dimension ref="A1:L87"/>
  <sheetViews>
    <sheetView topLeftCell="A12" zoomScale="93" workbookViewId="0">
      <selection activeCell="E27" sqref="E27"/>
    </sheetView>
  </sheetViews>
  <sheetFormatPr baseColWidth="10" defaultRowHeight="16" x14ac:dyDescent="0.2"/>
  <cols>
    <col min="1" max="1" width="28.6640625" customWidth="1"/>
    <col min="2" max="2" width="25.5" customWidth="1"/>
    <col min="3" max="3" width="18.5" customWidth="1"/>
    <col min="4" max="4" width="21" customWidth="1"/>
    <col min="5" max="5" width="19.83203125" customWidth="1"/>
    <col min="6" max="6" width="26.1640625" customWidth="1"/>
    <col min="7" max="7" width="21.83203125" customWidth="1"/>
    <col min="8" max="8" width="18.5" customWidth="1"/>
    <col min="11" max="11" width="4.6640625" customWidth="1"/>
    <col min="12" max="12" width="83.83203125" customWidth="1"/>
    <col min="13" max="13" width="22.83203125" customWidth="1"/>
    <col min="17" max="17" width="20.1640625" customWidth="1"/>
    <col min="18" max="18" width="16.33203125" customWidth="1"/>
  </cols>
  <sheetData>
    <row r="1" spans="1:12" x14ac:dyDescent="0.2">
      <c r="A1" s="43" t="s">
        <v>0</v>
      </c>
      <c r="B1" s="44" t="s">
        <v>35</v>
      </c>
      <c r="C1" s="44" t="s">
        <v>9</v>
      </c>
      <c r="D1" s="44" t="s">
        <v>11</v>
      </c>
      <c r="E1" s="44" t="s">
        <v>10</v>
      </c>
      <c r="F1" s="44" t="s">
        <v>12</v>
      </c>
      <c r="G1" s="44" t="s">
        <v>52</v>
      </c>
      <c r="H1" s="44" t="s">
        <v>53</v>
      </c>
      <c r="I1" s="45" t="s">
        <v>31</v>
      </c>
      <c r="J1" s="29"/>
      <c r="K1" s="21"/>
      <c r="L1" s="52" t="s">
        <v>92</v>
      </c>
    </row>
    <row r="2" spans="1:12" x14ac:dyDescent="0.2">
      <c r="A2" s="3" t="s">
        <v>1</v>
      </c>
      <c r="B2" s="1">
        <v>8.76</v>
      </c>
      <c r="C2" s="1">
        <v>143</v>
      </c>
      <c r="D2" s="1">
        <v>67</v>
      </c>
      <c r="E2" s="1">
        <v>84</v>
      </c>
      <c r="F2" s="1">
        <v>23</v>
      </c>
      <c r="G2" s="1">
        <v>317</v>
      </c>
      <c r="H2" s="40">
        <f>G2/(B2*1000)</f>
        <v>3.6187214611872145E-2</v>
      </c>
      <c r="I2" s="4" t="s">
        <v>32</v>
      </c>
      <c r="J2" s="1"/>
      <c r="K2" s="21"/>
      <c r="L2" s="18" t="s">
        <v>34</v>
      </c>
    </row>
    <row r="3" spans="1:12" x14ac:dyDescent="0.2">
      <c r="A3" s="3" t="s">
        <v>2</v>
      </c>
      <c r="B3" s="1">
        <v>8.15</v>
      </c>
      <c r="C3" s="1">
        <v>178</v>
      </c>
      <c r="D3" s="1">
        <v>93</v>
      </c>
      <c r="E3" s="1">
        <v>129</v>
      </c>
      <c r="F3" s="1">
        <v>23</v>
      </c>
      <c r="G3" s="1">
        <v>305</v>
      </c>
      <c r="H3" s="40">
        <f t="shared" ref="H3:H8" si="0">G3/(B3*1000)</f>
        <v>3.7423312883435582E-2</v>
      </c>
      <c r="I3" s="4" t="s">
        <v>32</v>
      </c>
      <c r="J3" s="1"/>
      <c r="K3" s="21"/>
      <c r="L3" s="17"/>
    </row>
    <row r="4" spans="1:12" x14ac:dyDescent="0.2">
      <c r="A4" s="3" t="s">
        <v>3</v>
      </c>
      <c r="B4" s="1">
        <v>6.26</v>
      </c>
      <c r="C4" s="1">
        <v>140</v>
      </c>
      <c r="D4" s="1">
        <v>55</v>
      </c>
      <c r="E4" s="1">
        <v>114</v>
      </c>
      <c r="F4" s="1">
        <v>23</v>
      </c>
      <c r="G4" s="1">
        <v>247</v>
      </c>
      <c r="H4" s="40">
        <f t="shared" si="0"/>
        <v>3.9456869009584665E-2</v>
      </c>
      <c r="I4" s="4" t="s">
        <v>32</v>
      </c>
      <c r="J4" s="1"/>
      <c r="K4" s="21"/>
      <c r="L4" s="17"/>
    </row>
    <row r="5" spans="1:12" x14ac:dyDescent="0.2">
      <c r="A5" s="3" t="s">
        <v>4</v>
      </c>
      <c r="B5" s="1">
        <v>5.93</v>
      </c>
      <c r="C5" s="1">
        <v>134</v>
      </c>
      <c r="D5" s="1">
        <v>56</v>
      </c>
      <c r="E5" s="1">
        <v>71</v>
      </c>
      <c r="F5" s="1">
        <v>23</v>
      </c>
      <c r="G5" s="1">
        <v>146</v>
      </c>
      <c r="H5" s="40">
        <f t="shared" si="0"/>
        <v>2.4620573355817875E-2</v>
      </c>
      <c r="I5" s="4" t="s">
        <v>32</v>
      </c>
      <c r="J5" s="1"/>
      <c r="K5" s="21"/>
      <c r="L5" s="17"/>
    </row>
    <row r="6" spans="1:12" x14ac:dyDescent="0.2">
      <c r="A6" s="3" t="s">
        <v>5</v>
      </c>
      <c r="B6" s="1">
        <v>8.2899999999999991</v>
      </c>
      <c r="C6" s="1">
        <v>134</v>
      </c>
      <c r="D6" s="1">
        <v>56</v>
      </c>
      <c r="E6" s="1">
        <v>71</v>
      </c>
      <c r="F6" s="1">
        <v>23</v>
      </c>
      <c r="G6" s="1">
        <v>82</v>
      </c>
      <c r="H6" s="40">
        <f t="shared" si="0"/>
        <v>9.8914354644149584E-3</v>
      </c>
      <c r="I6" s="4" t="s">
        <v>32</v>
      </c>
      <c r="J6" s="1"/>
      <c r="K6" s="21"/>
      <c r="L6" s="17"/>
    </row>
    <row r="7" spans="1:12" x14ac:dyDescent="0.2">
      <c r="A7" s="3" t="s">
        <v>6</v>
      </c>
      <c r="B7" s="1">
        <v>6.29</v>
      </c>
      <c r="C7" s="1">
        <v>181</v>
      </c>
      <c r="D7" s="1">
        <v>68</v>
      </c>
      <c r="E7" s="1">
        <v>87</v>
      </c>
      <c r="F7" s="1">
        <v>23</v>
      </c>
      <c r="G7" s="1">
        <v>43</v>
      </c>
      <c r="H7" s="40">
        <f t="shared" si="0"/>
        <v>6.836248012718601E-3</v>
      </c>
      <c r="I7" s="4" t="s">
        <v>32</v>
      </c>
      <c r="J7" s="1"/>
      <c r="K7" s="21"/>
      <c r="L7" s="17"/>
    </row>
    <row r="8" spans="1:12" x14ac:dyDescent="0.2">
      <c r="A8" s="3" t="s">
        <v>7</v>
      </c>
      <c r="B8" s="1">
        <v>9.0500000000000007</v>
      </c>
      <c r="C8" s="1">
        <v>155</v>
      </c>
      <c r="D8" s="1">
        <v>42</v>
      </c>
      <c r="E8" s="1">
        <v>21</v>
      </c>
      <c r="F8" s="1">
        <v>23</v>
      </c>
      <c r="G8" s="1">
        <v>444</v>
      </c>
      <c r="H8" s="40">
        <f t="shared" si="0"/>
        <v>4.9060773480662984E-2</v>
      </c>
      <c r="I8" s="4" t="s">
        <v>32</v>
      </c>
      <c r="J8" s="1"/>
      <c r="K8" s="21"/>
      <c r="L8" s="17"/>
    </row>
    <row r="9" spans="1:12" x14ac:dyDescent="0.2">
      <c r="A9" s="8" t="s">
        <v>8</v>
      </c>
      <c r="B9" s="9">
        <v>6.48</v>
      </c>
      <c r="C9" s="9">
        <v>110</v>
      </c>
      <c r="D9" s="9">
        <v>53</v>
      </c>
      <c r="E9" s="9">
        <v>29</v>
      </c>
      <c r="F9" s="9">
        <v>23</v>
      </c>
      <c r="G9" s="9">
        <v>359</v>
      </c>
      <c r="H9" s="10">
        <f>G9/(B9*1000)</f>
        <v>5.5401234567901234E-2</v>
      </c>
      <c r="I9" s="11" t="s">
        <v>32</v>
      </c>
      <c r="J9" s="1"/>
      <c r="K9" s="21"/>
      <c r="L9" s="17"/>
    </row>
    <row r="10" spans="1:12" x14ac:dyDescent="0.2">
      <c r="A10" s="3" t="s">
        <v>91</v>
      </c>
      <c r="B10" s="1">
        <v>18.7</v>
      </c>
      <c r="C10" s="1">
        <v>240</v>
      </c>
      <c r="D10" s="1">
        <v>44</v>
      </c>
      <c r="E10" s="1">
        <v>200</v>
      </c>
      <c r="F10" s="1"/>
      <c r="G10" s="1"/>
      <c r="H10" s="40"/>
      <c r="I10" s="4" t="s">
        <v>33</v>
      </c>
      <c r="J10" s="1"/>
      <c r="K10" s="21"/>
      <c r="L10" s="17"/>
    </row>
    <row r="11" spans="1:12" x14ac:dyDescent="0.2">
      <c r="A11" s="3" t="s">
        <v>91</v>
      </c>
      <c r="B11" s="1">
        <v>8</v>
      </c>
      <c r="C11" s="1"/>
      <c r="D11" s="1"/>
      <c r="E11" s="1"/>
      <c r="F11" s="1"/>
      <c r="G11" s="1">
        <f>(341+368)/2</f>
        <v>354.5</v>
      </c>
      <c r="H11" s="40">
        <f t="shared" ref="H11:H12" si="1">G11/(B11*1000)</f>
        <v>4.4312499999999998E-2</v>
      </c>
      <c r="I11" s="4" t="s">
        <v>54</v>
      </c>
      <c r="J11" s="1"/>
      <c r="K11" s="21"/>
      <c r="L11" s="17"/>
    </row>
    <row r="12" spans="1:12" ht="17" thickBot="1" x14ac:dyDescent="0.25">
      <c r="A12" s="5" t="s">
        <v>91</v>
      </c>
      <c r="B12" s="6">
        <v>12</v>
      </c>
      <c r="C12" s="6"/>
      <c r="D12" s="6"/>
      <c r="E12" s="6"/>
      <c r="F12" s="6"/>
      <c r="G12" s="6">
        <f>(307/1000)*3.14*10000</f>
        <v>9639.8000000000011</v>
      </c>
      <c r="H12" s="12">
        <f t="shared" si="1"/>
        <v>0.80331666666666679</v>
      </c>
      <c r="I12" s="7" t="s">
        <v>111</v>
      </c>
      <c r="J12" s="1"/>
      <c r="K12" s="21"/>
      <c r="L12" s="17"/>
    </row>
    <row r="13" spans="1:12" x14ac:dyDescent="0.2">
      <c r="A13" s="1"/>
      <c r="B13" s="1"/>
      <c r="C13" s="1"/>
      <c r="D13" s="1"/>
      <c r="E13" s="1"/>
      <c r="F13" s="1"/>
      <c r="G13" s="1"/>
      <c r="H13" s="1"/>
      <c r="I13" s="1"/>
      <c r="J13" s="1"/>
      <c r="K13" s="21"/>
      <c r="L13" s="17"/>
    </row>
    <row r="14" spans="1:12" ht="17" thickBot="1" x14ac:dyDescent="0.25">
      <c r="H14" s="1"/>
      <c r="I14" s="1"/>
      <c r="J14" s="1"/>
      <c r="K14" s="21"/>
      <c r="L14" s="17"/>
    </row>
    <row r="15" spans="1:12" x14ac:dyDescent="0.2">
      <c r="A15" s="46" t="s">
        <v>14</v>
      </c>
      <c r="B15" s="47" t="s">
        <v>15</v>
      </c>
      <c r="C15" s="47" t="s">
        <v>16</v>
      </c>
      <c r="D15" s="47" t="s">
        <v>17</v>
      </c>
      <c r="E15" s="47" t="s">
        <v>18</v>
      </c>
      <c r="F15" s="48" t="s">
        <v>31</v>
      </c>
      <c r="H15" s="1"/>
      <c r="I15" s="1"/>
      <c r="J15" s="1"/>
      <c r="K15" s="21"/>
      <c r="L15" s="18" t="s">
        <v>93</v>
      </c>
    </row>
    <row r="16" spans="1:12" x14ac:dyDescent="0.2">
      <c r="A16" s="49"/>
      <c r="B16" s="50" t="s">
        <v>19</v>
      </c>
      <c r="C16" s="50" t="s">
        <v>20</v>
      </c>
      <c r="D16" s="50" t="s">
        <v>21</v>
      </c>
      <c r="E16" s="50" t="s">
        <v>22</v>
      </c>
      <c r="F16" s="51"/>
      <c r="H16" s="1"/>
      <c r="I16" s="1"/>
      <c r="J16" s="1"/>
      <c r="K16" s="21"/>
      <c r="L16" s="18"/>
    </row>
    <row r="17" spans="1:12" x14ac:dyDescent="0.2">
      <c r="A17" s="3" t="s">
        <v>23</v>
      </c>
      <c r="B17" s="1">
        <v>48</v>
      </c>
      <c r="C17" s="1">
        <v>1.44</v>
      </c>
      <c r="D17" s="1">
        <v>0.69</v>
      </c>
      <c r="E17" s="1">
        <v>0.5</v>
      </c>
      <c r="F17" s="4" t="s">
        <v>33</v>
      </c>
      <c r="H17" s="1"/>
      <c r="I17" s="1"/>
      <c r="J17" s="1"/>
      <c r="K17" s="21"/>
      <c r="L17" s="17"/>
    </row>
    <row r="18" spans="1:12" x14ac:dyDescent="0.2">
      <c r="A18" s="3" t="s">
        <v>24</v>
      </c>
      <c r="B18" s="1">
        <v>22</v>
      </c>
      <c r="C18" s="1">
        <v>0.43</v>
      </c>
      <c r="D18" s="1">
        <v>0.14000000000000001</v>
      </c>
      <c r="E18" s="1">
        <v>0.9</v>
      </c>
      <c r="F18" s="4" t="s">
        <v>33</v>
      </c>
      <c r="H18" s="1"/>
      <c r="I18" s="1"/>
      <c r="J18" s="1"/>
      <c r="K18" s="21"/>
      <c r="L18" s="18" t="s">
        <v>94</v>
      </c>
    </row>
    <row r="19" spans="1:12" x14ac:dyDescent="0.2">
      <c r="A19" s="3" t="s">
        <v>25</v>
      </c>
      <c r="B19" s="1">
        <v>10.6</v>
      </c>
      <c r="C19" s="1">
        <v>1.8</v>
      </c>
      <c r="D19" s="1">
        <v>0.69</v>
      </c>
      <c r="E19" s="1">
        <v>2.0499999999999998</v>
      </c>
      <c r="F19" s="4" t="s">
        <v>33</v>
      </c>
      <c r="H19" s="1"/>
      <c r="I19" s="1"/>
      <c r="J19" s="1"/>
      <c r="K19" s="21"/>
      <c r="L19" s="18"/>
    </row>
    <row r="20" spans="1:12" x14ac:dyDescent="0.2">
      <c r="A20" s="3" t="s">
        <v>27</v>
      </c>
      <c r="B20" s="1">
        <v>5.3</v>
      </c>
      <c r="C20" s="1">
        <v>0.64</v>
      </c>
      <c r="D20" s="1">
        <v>0.37</v>
      </c>
      <c r="E20" s="1">
        <v>1.74</v>
      </c>
      <c r="F20" s="4" t="s">
        <v>33</v>
      </c>
      <c r="H20" s="1"/>
      <c r="I20" s="1"/>
      <c r="J20" s="1"/>
      <c r="K20" s="21"/>
      <c r="L20" s="18"/>
    </row>
    <row r="21" spans="1:12" x14ac:dyDescent="0.2">
      <c r="A21" s="3" t="s">
        <v>28</v>
      </c>
      <c r="B21" s="1">
        <v>4.3</v>
      </c>
      <c r="C21" s="1">
        <v>0.36</v>
      </c>
      <c r="D21" s="1">
        <v>0.21</v>
      </c>
      <c r="E21" s="1">
        <v>1.32</v>
      </c>
      <c r="F21" s="4" t="s">
        <v>33</v>
      </c>
      <c r="H21" s="1"/>
      <c r="I21" s="1"/>
      <c r="J21" s="1"/>
      <c r="K21" s="21"/>
      <c r="L21" s="18"/>
    </row>
    <row r="22" spans="1:12" x14ac:dyDescent="0.2">
      <c r="A22" s="3" t="s">
        <v>29</v>
      </c>
      <c r="B22" s="1">
        <v>1.6</v>
      </c>
      <c r="C22" s="1">
        <v>0.5</v>
      </c>
      <c r="D22" s="1">
        <v>0.18</v>
      </c>
      <c r="E22" s="1">
        <v>1.68</v>
      </c>
      <c r="F22" s="4" t="s">
        <v>33</v>
      </c>
      <c r="I22" s="1"/>
      <c r="J22" s="1"/>
      <c r="K22" s="21"/>
      <c r="L22" s="20"/>
    </row>
    <row r="23" spans="1:12" ht="17" thickBot="1" x14ac:dyDescent="0.25">
      <c r="A23" s="5" t="s">
        <v>26</v>
      </c>
      <c r="B23" s="6">
        <v>7.5</v>
      </c>
      <c r="C23" s="6">
        <v>0.33</v>
      </c>
      <c r="D23" s="6">
        <v>0.11</v>
      </c>
      <c r="E23" s="6">
        <v>0.62</v>
      </c>
      <c r="F23" s="7" t="s">
        <v>33</v>
      </c>
      <c r="H23" s="1"/>
      <c r="I23" s="1"/>
      <c r="J23" s="1"/>
      <c r="K23" s="21"/>
      <c r="L23" s="18"/>
    </row>
    <row r="24" spans="1:12" x14ac:dyDescent="0.2">
      <c r="K24" s="21"/>
      <c r="L24" s="17"/>
    </row>
    <row r="25" spans="1:12" ht="17" thickBot="1" x14ac:dyDescent="0.25">
      <c r="K25" s="21"/>
      <c r="L25" s="17"/>
    </row>
    <row r="26" spans="1:12" x14ac:dyDescent="0.2">
      <c r="A26" s="46" t="s">
        <v>61</v>
      </c>
      <c r="B26" s="47" t="s">
        <v>72</v>
      </c>
      <c r="C26" s="47" t="s">
        <v>145</v>
      </c>
      <c r="D26" s="47" t="s">
        <v>146</v>
      </c>
      <c r="E26" s="47" t="s">
        <v>135</v>
      </c>
      <c r="F26" s="47" t="s">
        <v>77</v>
      </c>
      <c r="G26" s="47" t="s">
        <v>78</v>
      </c>
      <c r="H26" s="48" t="s">
        <v>31</v>
      </c>
      <c r="K26" s="21"/>
      <c r="L26" s="18" t="s">
        <v>81</v>
      </c>
    </row>
    <row r="27" spans="1:12" x14ac:dyDescent="0.2">
      <c r="A27" s="22" t="s">
        <v>62</v>
      </c>
      <c r="B27" s="23">
        <v>0.8</v>
      </c>
      <c r="C27" s="24">
        <f t="shared" ref="C27:C36" si="2">B27*0.0164</f>
        <v>1.3120000000000001E-2</v>
      </c>
      <c r="D27" s="24">
        <f t="shared" ref="D27:D36" si="3">C27/0.000645</f>
        <v>20.341085271317834</v>
      </c>
      <c r="E27" s="24">
        <f>D27/0.0001/1000</f>
        <v>203.41085271317831</v>
      </c>
      <c r="F27" s="23">
        <v>11</v>
      </c>
      <c r="G27" s="25">
        <f>E27/F27</f>
        <v>18.491895701198029</v>
      </c>
      <c r="H27" s="26" t="s">
        <v>80</v>
      </c>
      <c r="K27" s="21"/>
      <c r="L27" s="18"/>
    </row>
    <row r="28" spans="1:12" x14ac:dyDescent="0.2">
      <c r="A28" s="3" t="s">
        <v>63</v>
      </c>
      <c r="B28" s="1">
        <v>2.6</v>
      </c>
      <c r="C28" s="2">
        <f t="shared" si="2"/>
        <v>4.2640000000000004E-2</v>
      </c>
      <c r="D28" s="2">
        <f t="shared" si="3"/>
        <v>66.108527131782964</v>
      </c>
      <c r="E28" s="2">
        <f t="shared" ref="E28:E36" si="4">D28/0.0001/1000</f>
        <v>661.08527131782967</v>
      </c>
      <c r="F28" s="1">
        <v>11</v>
      </c>
      <c r="G28" s="13">
        <f t="shared" ref="G28:G35" si="5">E28/F28</f>
        <v>60.098661028893609</v>
      </c>
      <c r="H28" s="4" t="s">
        <v>80</v>
      </c>
      <c r="K28" s="21"/>
      <c r="L28" s="18" t="s">
        <v>95</v>
      </c>
    </row>
    <row r="29" spans="1:12" x14ac:dyDescent="0.2">
      <c r="A29" s="3" t="s">
        <v>64</v>
      </c>
      <c r="B29" s="1">
        <v>5.5</v>
      </c>
      <c r="C29" s="2">
        <f t="shared" si="2"/>
        <v>9.0200000000000002E-2</v>
      </c>
      <c r="D29" s="2">
        <f t="shared" si="3"/>
        <v>139.84496124031008</v>
      </c>
      <c r="E29" s="2">
        <f t="shared" si="4"/>
        <v>1398.4496124031009</v>
      </c>
      <c r="F29" s="1">
        <v>11</v>
      </c>
      <c r="G29" s="13">
        <f t="shared" si="5"/>
        <v>127.13178294573645</v>
      </c>
      <c r="H29" s="4" t="s">
        <v>80</v>
      </c>
      <c r="K29" s="21"/>
      <c r="L29" s="17"/>
    </row>
    <row r="30" spans="1:12" x14ac:dyDescent="0.2">
      <c r="A30" s="3" t="s">
        <v>65</v>
      </c>
      <c r="B30" s="1">
        <v>7.3</v>
      </c>
      <c r="C30" s="2">
        <f t="shared" si="2"/>
        <v>0.11972000000000001</v>
      </c>
      <c r="D30" s="2">
        <f t="shared" si="3"/>
        <v>185.61240310077523</v>
      </c>
      <c r="E30" s="2">
        <f t="shared" si="4"/>
        <v>1856.1240310077521</v>
      </c>
      <c r="F30" s="1">
        <v>11</v>
      </c>
      <c r="G30" s="13">
        <f t="shared" si="5"/>
        <v>168.738548273432</v>
      </c>
      <c r="H30" s="4" t="s">
        <v>80</v>
      </c>
      <c r="K30" s="21"/>
      <c r="L30" s="18" t="s">
        <v>73</v>
      </c>
    </row>
    <row r="31" spans="1:12" x14ac:dyDescent="0.2">
      <c r="A31" s="3" t="s">
        <v>66</v>
      </c>
      <c r="B31" s="1">
        <v>11.1</v>
      </c>
      <c r="C31" s="2">
        <f t="shared" si="2"/>
        <v>0.18204000000000001</v>
      </c>
      <c r="D31" s="2">
        <f t="shared" si="3"/>
        <v>282.23255813953489</v>
      </c>
      <c r="E31" s="2">
        <f t="shared" si="4"/>
        <v>2822.3255813953483</v>
      </c>
      <c r="F31" s="1">
        <v>11</v>
      </c>
      <c r="G31" s="13">
        <f t="shared" si="5"/>
        <v>256.57505285412259</v>
      </c>
      <c r="H31" s="4" t="s">
        <v>80</v>
      </c>
      <c r="K31" s="21"/>
      <c r="L31" s="18" t="s">
        <v>74</v>
      </c>
    </row>
    <row r="32" spans="1:12" x14ac:dyDescent="0.2">
      <c r="A32" s="3" t="s">
        <v>67</v>
      </c>
      <c r="B32" s="1">
        <v>14.9</v>
      </c>
      <c r="C32" s="2">
        <f t="shared" si="2"/>
        <v>0.24436000000000002</v>
      </c>
      <c r="D32" s="2">
        <f t="shared" si="3"/>
        <v>378.85271317829461</v>
      </c>
      <c r="E32" s="2">
        <f t="shared" si="4"/>
        <v>3788.5271317829456</v>
      </c>
      <c r="F32" s="1">
        <v>11</v>
      </c>
      <c r="G32" s="13">
        <f t="shared" si="5"/>
        <v>344.41155743481323</v>
      </c>
      <c r="H32" s="4" t="s">
        <v>80</v>
      </c>
      <c r="K32" s="21"/>
      <c r="L32" s="18" t="s">
        <v>75</v>
      </c>
    </row>
    <row r="33" spans="1:12" x14ac:dyDescent="0.2">
      <c r="A33" s="3" t="s">
        <v>68</v>
      </c>
      <c r="B33" s="1">
        <v>16.8</v>
      </c>
      <c r="C33" s="2">
        <f t="shared" si="2"/>
        <v>0.27552000000000004</v>
      </c>
      <c r="D33" s="2">
        <f t="shared" si="3"/>
        <v>427.1627906976745</v>
      </c>
      <c r="E33" s="2">
        <f t="shared" si="4"/>
        <v>4271.6279069767443</v>
      </c>
      <c r="F33" s="1">
        <v>11</v>
      </c>
      <c r="G33" s="13">
        <f t="shared" si="5"/>
        <v>388.32980972515855</v>
      </c>
      <c r="H33" s="4" t="s">
        <v>80</v>
      </c>
      <c r="K33" s="21"/>
      <c r="L33" s="18" t="s">
        <v>76</v>
      </c>
    </row>
    <row r="34" spans="1:12" x14ac:dyDescent="0.2">
      <c r="A34" s="3" t="s">
        <v>69</v>
      </c>
      <c r="B34" s="1">
        <v>20.7</v>
      </c>
      <c r="C34" s="2">
        <f t="shared" si="2"/>
        <v>0.33948</v>
      </c>
      <c r="D34" s="2">
        <f t="shared" si="3"/>
        <v>526.32558139534888</v>
      </c>
      <c r="E34" s="2">
        <f t="shared" si="4"/>
        <v>5263.2558139534885</v>
      </c>
      <c r="F34" s="1">
        <v>11</v>
      </c>
      <c r="G34" s="13">
        <f t="shared" si="5"/>
        <v>478.47780126849898</v>
      </c>
      <c r="H34" s="4" t="s">
        <v>80</v>
      </c>
      <c r="K34" s="21"/>
      <c r="L34" s="17"/>
    </row>
    <row r="35" spans="1:12" x14ac:dyDescent="0.2">
      <c r="A35" s="3" t="s">
        <v>70</v>
      </c>
      <c r="B35" s="1">
        <v>24.5</v>
      </c>
      <c r="C35" s="2">
        <f t="shared" si="2"/>
        <v>0.40180000000000005</v>
      </c>
      <c r="D35" s="2">
        <f t="shared" si="3"/>
        <v>622.94573643410865</v>
      </c>
      <c r="E35" s="2">
        <f t="shared" si="4"/>
        <v>6229.4573643410858</v>
      </c>
      <c r="F35" s="1">
        <v>11</v>
      </c>
      <c r="G35" s="13">
        <f t="shared" si="5"/>
        <v>566.31430584918962</v>
      </c>
      <c r="H35" s="4" t="s">
        <v>80</v>
      </c>
      <c r="K35" s="21"/>
      <c r="L35" s="17"/>
    </row>
    <row r="36" spans="1:12" x14ac:dyDescent="0.2">
      <c r="A36" s="3" t="s">
        <v>71</v>
      </c>
      <c r="B36" s="1">
        <v>25.9</v>
      </c>
      <c r="C36" s="2">
        <f t="shared" si="2"/>
        <v>0.42476000000000003</v>
      </c>
      <c r="D36" s="2">
        <f t="shared" si="3"/>
        <v>658.54263565891483</v>
      </c>
      <c r="E36" s="2">
        <f t="shared" si="4"/>
        <v>6585.4263565891479</v>
      </c>
      <c r="F36" s="1">
        <v>11</v>
      </c>
      <c r="G36" s="13">
        <f>E36/F36</f>
        <v>598.67512332628621</v>
      </c>
      <c r="H36" s="4" t="s">
        <v>80</v>
      </c>
      <c r="K36" s="21"/>
      <c r="L36" s="17"/>
    </row>
    <row r="37" spans="1:12" x14ac:dyDescent="0.2">
      <c r="A37" s="22" t="s">
        <v>97</v>
      </c>
      <c r="B37" s="23"/>
      <c r="C37" s="24"/>
      <c r="D37" s="24"/>
      <c r="E37" s="23">
        <v>6000</v>
      </c>
      <c r="F37" s="23" t="s">
        <v>87</v>
      </c>
      <c r="G37" s="25">
        <f>E37/AVERAGE(7,8.5)</f>
        <v>774.19354838709683</v>
      </c>
      <c r="H37" s="26" t="s">
        <v>82</v>
      </c>
      <c r="K37" s="21"/>
      <c r="L37" s="18" t="s">
        <v>84</v>
      </c>
    </row>
    <row r="38" spans="1:12" x14ac:dyDescent="0.2">
      <c r="A38" s="3" t="s">
        <v>96</v>
      </c>
      <c r="B38" s="1"/>
      <c r="C38" s="2"/>
      <c r="D38" s="2"/>
      <c r="E38" s="1" t="s">
        <v>86</v>
      </c>
      <c r="F38" s="14" t="s">
        <v>85</v>
      </c>
      <c r="G38" s="13">
        <f>AVERAGE(3642,4342)/AVERAGE(10,12)</f>
        <v>362.90909090909093</v>
      </c>
      <c r="H38" s="4" t="s">
        <v>82</v>
      </c>
      <c r="K38" s="21"/>
      <c r="L38" s="18"/>
    </row>
    <row r="39" spans="1:12" x14ac:dyDescent="0.2">
      <c r="A39" s="22" t="s">
        <v>91</v>
      </c>
      <c r="B39" s="23">
        <v>16</v>
      </c>
      <c r="C39" s="24">
        <f>B39*0.0164</f>
        <v>0.26240000000000002</v>
      </c>
      <c r="D39" s="24">
        <f>C39/0.000645</f>
        <v>406.82170542635663</v>
      </c>
      <c r="E39" s="24">
        <f t="shared" ref="E39:E41" si="6">D39/0.0001/1000</f>
        <v>4068.2170542635663</v>
      </c>
      <c r="F39" s="24">
        <f>150*0.06276</f>
        <v>9.4139999999999997</v>
      </c>
      <c r="G39" s="25">
        <f t="shared" ref="G39:G41" si="7">E39/F39</f>
        <v>432.14542747647829</v>
      </c>
      <c r="H39" s="26" t="s">
        <v>88</v>
      </c>
      <c r="K39" s="21"/>
      <c r="L39" s="18" t="s">
        <v>90</v>
      </c>
    </row>
    <row r="40" spans="1:12" x14ac:dyDescent="0.2">
      <c r="A40" s="3" t="s">
        <v>91</v>
      </c>
      <c r="B40" s="1">
        <v>20</v>
      </c>
      <c r="C40" s="2">
        <f>B40*0.0164</f>
        <v>0.32800000000000001</v>
      </c>
      <c r="D40" s="2">
        <f>C40/0.000645</f>
        <v>508.52713178294579</v>
      </c>
      <c r="E40" s="2">
        <f t="shared" si="6"/>
        <v>5085.271317829458</v>
      </c>
      <c r="F40" s="2">
        <f>200*0.06276</f>
        <v>12.552</v>
      </c>
      <c r="G40" s="13">
        <f t="shared" si="7"/>
        <v>405.1363382591984</v>
      </c>
      <c r="H40" s="4" t="s">
        <v>88</v>
      </c>
      <c r="K40" s="21"/>
      <c r="L40" s="17"/>
    </row>
    <row r="41" spans="1:12" ht="17" thickBot="1" x14ac:dyDescent="0.25">
      <c r="A41" s="5" t="s">
        <v>91</v>
      </c>
      <c r="B41" s="6">
        <v>22</v>
      </c>
      <c r="C41" s="15">
        <f>B41*0.0164</f>
        <v>0.36080000000000001</v>
      </c>
      <c r="D41" s="15">
        <f>C41/0.000645</f>
        <v>559.37984496124034</v>
      </c>
      <c r="E41" s="15">
        <f t="shared" si="6"/>
        <v>5593.7984496124036</v>
      </c>
      <c r="F41" s="15">
        <f>250*0.06276</f>
        <v>15.69</v>
      </c>
      <c r="G41" s="16">
        <f t="shared" si="7"/>
        <v>356.51997766809455</v>
      </c>
      <c r="H41" s="7" t="s">
        <v>88</v>
      </c>
      <c r="K41" s="21"/>
      <c r="L41" s="17"/>
    </row>
    <row r="42" spans="1:12" x14ac:dyDescent="0.2">
      <c r="K42" s="21"/>
      <c r="L42" s="17"/>
    </row>
    <row r="43" spans="1:12" ht="17" thickBot="1" x14ac:dyDescent="0.25">
      <c r="K43" s="21"/>
      <c r="L43" s="17"/>
    </row>
    <row r="44" spans="1:12" x14ac:dyDescent="0.2">
      <c r="A44" s="43" t="s">
        <v>14</v>
      </c>
      <c r="B44" s="44" t="s">
        <v>38</v>
      </c>
      <c r="C44" s="45" t="s">
        <v>31</v>
      </c>
      <c r="E44" s="46" t="s">
        <v>186</v>
      </c>
      <c r="F44" s="48" t="s">
        <v>31</v>
      </c>
      <c r="K44" s="21"/>
      <c r="L44" s="18" t="s">
        <v>190</v>
      </c>
    </row>
    <row r="45" spans="1:12" x14ac:dyDescent="0.2">
      <c r="A45" s="3" t="s">
        <v>23</v>
      </c>
      <c r="B45" s="27">
        <f>326/815</f>
        <v>0.4</v>
      </c>
      <c r="C45" s="4" t="s">
        <v>45</v>
      </c>
      <c r="E45" s="3" t="s">
        <v>187</v>
      </c>
      <c r="F45" s="4" t="s">
        <v>189</v>
      </c>
      <c r="K45" s="21"/>
      <c r="L45" s="18" t="s">
        <v>191</v>
      </c>
    </row>
    <row r="46" spans="1:12" x14ac:dyDescent="0.2">
      <c r="A46" s="3" t="s">
        <v>36</v>
      </c>
      <c r="B46" s="27">
        <f>326/815</f>
        <v>0.4</v>
      </c>
      <c r="C46" s="4" t="s">
        <v>45</v>
      </c>
      <c r="E46" s="3">
        <v>0.49</v>
      </c>
      <c r="F46" s="4" t="s">
        <v>192</v>
      </c>
      <c r="K46" s="21"/>
      <c r="L46" s="17"/>
    </row>
    <row r="47" spans="1:12" ht="17" thickBot="1" x14ac:dyDescent="0.25">
      <c r="A47" s="5" t="s">
        <v>37</v>
      </c>
      <c r="B47" s="28">
        <f>163/815</f>
        <v>0.2</v>
      </c>
      <c r="C47" s="7" t="s">
        <v>45</v>
      </c>
      <c r="E47" s="5">
        <v>0.51</v>
      </c>
      <c r="F47" s="7" t="s">
        <v>194</v>
      </c>
      <c r="K47" s="21"/>
      <c r="L47" s="17"/>
    </row>
    <row r="48" spans="1:12" x14ac:dyDescent="0.2">
      <c r="K48" s="21"/>
      <c r="L48" s="17"/>
    </row>
    <row r="49" spans="1:12" ht="17" thickBot="1" x14ac:dyDescent="0.25">
      <c r="K49" s="21"/>
      <c r="L49" s="17"/>
    </row>
    <row r="50" spans="1:12" x14ac:dyDescent="0.2">
      <c r="A50" s="43" t="s">
        <v>39</v>
      </c>
      <c r="B50" s="44" t="s">
        <v>40</v>
      </c>
      <c r="C50" s="44" t="s">
        <v>41</v>
      </c>
      <c r="D50" s="44" t="s">
        <v>42</v>
      </c>
      <c r="E50" s="44" t="s">
        <v>43</v>
      </c>
      <c r="F50" s="44" t="s">
        <v>47</v>
      </c>
      <c r="G50" s="44" t="s">
        <v>48</v>
      </c>
      <c r="H50" s="44" t="s">
        <v>49</v>
      </c>
      <c r="I50" s="45" t="s">
        <v>31</v>
      </c>
      <c r="J50" s="29"/>
      <c r="K50" s="21"/>
      <c r="L50" s="17"/>
    </row>
    <row r="51" spans="1:12" x14ac:dyDescent="0.2">
      <c r="A51" s="30" t="s">
        <v>44</v>
      </c>
      <c r="B51" s="31">
        <f>9.2*10^12</f>
        <v>9200000000000</v>
      </c>
      <c r="C51" s="31">
        <f>B51*0.0254</f>
        <v>233680000000</v>
      </c>
      <c r="D51" s="31">
        <f>815*10^6</f>
        <v>815000000</v>
      </c>
      <c r="E51" s="32">
        <f>(D51/C51)/0.48</f>
        <v>7.2659905283578678E-3</v>
      </c>
      <c r="F51" s="33">
        <f>E51*1000/44</f>
        <v>0.16513614837176974</v>
      </c>
      <c r="G51" s="33">
        <f>F51</f>
        <v>0.16513614837176974</v>
      </c>
      <c r="H51" s="33">
        <f>G51*18/1000</f>
        <v>2.9724506706918551E-3</v>
      </c>
      <c r="I51" s="34" t="s">
        <v>45</v>
      </c>
      <c r="J51" s="31"/>
      <c r="K51" s="21"/>
      <c r="L51" s="17"/>
    </row>
    <row r="52" spans="1:12" x14ac:dyDescent="0.2">
      <c r="A52" s="30"/>
      <c r="B52" s="31"/>
      <c r="C52" s="31"/>
      <c r="D52" s="31"/>
      <c r="E52" s="31">
        <v>0.16400000000000001</v>
      </c>
      <c r="F52" s="31"/>
      <c r="G52" s="31"/>
      <c r="H52" s="31"/>
      <c r="I52" s="34" t="s">
        <v>51</v>
      </c>
      <c r="J52" s="31"/>
      <c r="K52" s="21"/>
      <c r="L52" s="17"/>
    </row>
    <row r="53" spans="1:12" ht="17" thickBot="1" x14ac:dyDescent="0.25">
      <c r="A53" s="35"/>
      <c r="B53" s="36"/>
      <c r="C53" s="36"/>
      <c r="D53" s="36"/>
      <c r="E53" s="37">
        <v>0.371</v>
      </c>
      <c r="F53" s="38"/>
      <c r="G53" s="38"/>
      <c r="H53" s="38"/>
      <c r="I53" s="39" t="s">
        <v>51</v>
      </c>
      <c r="J53" s="31"/>
      <c r="K53" s="21"/>
      <c r="L53" s="17"/>
    </row>
    <row r="54" spans="1:12" x14ac:dyDescent="0.2">
      <c r="A54" s="1"/>
      <c r="B54" s="1"/>
      <c r="C54" s="1"/>
      <c r="D54" s="1"/>
      <c r="E54" s="1"/>
      <c r="F54" s="1"/>
      <c r="G54" s="1"/>
      <c r="H54" s="1"/>
      <c r="I54" s="1"/>
      <c r="J54" s="1"/>
      <c r="K54" s="21"/>
      <c r="L54" s="17"/>
    </row>
    <row r="55" spans="1:12" ht="17" thickBot="1" x14ac:dyDescent="0.25">
      <c r="K55" s="21"/>
      <c r="L55" s="17"/>
    </row>
    <row r="56" spans="1:12" x14ac:dyDescent="0.2">
      <c r="A56" s="43" t="s">
        <v>153</v>
      </c>
      <c r="B56" s="44" t="s">
        <v>154</v>
      </c>
      <c r="C56" s="44" t="s">
        <v>155</v>
      </c>
      <c r="D56" s="44" t="s">
        <v>156</v>
      </c>
      <c r="E56" s="44" t="s">
        <v>157</v>
      </c>
      <c r="F56" s="44" t="s">
        <v>158</v>
      </c>
      <c r="G56" s="44" t="s">
        <v>164</v>
      </c>
      <c r="H56" s="44" t="s">
        <v>165</v>
      </c>
      <c r="I56" s="44" t="s">
        <v>166</v>
      </c>
      <c r="J56" s="45" t="s">
        <v>31</v>
      </c>
      <c r="K56" s="21"/>
      <c r="L56" s="18" t="s">
        <v>179</v>
      </c>
    </row>
    <row r="57" spans="1:12" x14ac:dyDescent="0.2">
      <c r="A57" s="3" t="s">
        <v>149</v>
      </c>
      <c r="B57" s="1">
        <v>10.4</v>
      </c>
      <c r="C57" s="1">
        <v>9.42</v>
      </c>
      <c r="D57" s="1">
        <v>4.74</v>
      </c>
      <c r="E57" s="1">
        <v>1.2</v>
      </c>
      <c r="F57" s="1">
        <v>74.3</v>
      </c>
      <c r="G57" s="1"/>
      <c r="H57" s="1"/>
      <c r="I57" s="1"/>
      <c r="J57" s="4" t="s">
        <v>147</v>
      </c>
      <c r="K57" s="21"/>
      <c r="L57" s="18" t="s">
        <v>180</v>
      </c>
    </row>
    <row r="58" spans="1:12" x14ac:dyDescent="0.2">
      <c r="A58" s="3" t="s">
        <v>150</v>
      </c>
      <c r="B58" s="1" t="s">
        <v>91</v>
      </c>
      <c r="C58" s="54">
        <f>C57/SUM($C$57:$F$57)</f>
        <v>0.10506357349988847</v>
      </c>
      <c r="D58" s="54">
        <f t="shared" ref="D58:F58" si="8">D57/SUM($C$57:$F$57)</f>
        <v>5.2866384117778276E-2</v>
      </c>
      <c r="E58" s="54">
        <f t="shared" si="8"/>
        <v>1.3383894713361589E-2</v>
      </c>
      <c r="F58" s="54">
        <f t="shared" si="8"/>
        <v>0.82868614766897164</v>
      </c>
      <c r="G58" s="1"/>
      <c r="H58" s="1"/>
      <c r="I58" s="1"/>
      <c r="J58" s="4" t="s">
        <v>147</v>
      </c>
      <c r="K58" s="21"/>
      <c r="L58" s="18" t="s">
        <v>178</v>
      </c>
    </row>
    <row r="59" spans="1:12" x14ac:dyDescent="0.2">
      <c r="A59" s="3" t="s">
        <v>149</v>
      </c>
      <c r="B59" s="1">
        <v>13.7</v>
      </c>
      <c r="C59" s="1">
        <v>7.6</v>
      </c>
      <c r="D59" s="1">
        <v>3.6</v>
      </c>
      <c r="E59" s="1">
        <v>1.2</v>
      </c>
      <c r="F59" s="1">
        <v>63.8</v>
      </c>
      <c r="G59" s="1"/>
      <c r="H59" s="1"/>
      <c r="I59" s="1"/>
      <c r="J59" s="4" t="s">
        <v>152</v>
      </c>
      <c r="K59" s="21"/>
      <c r="L59" s="18"/>
    </row>
    <row r="60" spans="1:12" x14ac:dyDescent="0.2">
      <c r="A60" s="3" t="s">
        <v>150</v>
      </c>
      <c r="B60" s="1" t="s">
        <v>91</v>
      </c>
      <c r="C60" s="54">
        <f>C59/SUM($C$59:$F$59)</f>
        <v>9.9737532808398963E-2</v>
      </c>
      <c r="D60" s="54">
        <f t="shared" ref="D60:F60" si="9">D59/SUM($C$59:$F$59)</f>
        <v>4.7244094488188983E-2</v>
      </c>
      <c r="E60" s="54">
        <f t="shared" si="9"/>
        <v>1.5748031496062995E-2</v>
      </c>
      <c r="F60" s="54">
        <f t="shared" si="9"/>
        <v>0.83727034120734922</v>
      </c>
      <c r="G60" s="1"/>
      <c r="H60" s="1"/>
      <c r="I60" s="1"/>
      <c r="J60" s="4" t="s">
        <v>152</v>
      </c>
      <c r="K60" s="21"/>
      <c r="L60" s="18" t="s">
        <v>181</v>
      </c>
    </row>
    <row r="61" spans="1:12" x14ac:dyDescent="0.2">
      <c r="A61" s="8" t="s">
        <v>149</v>
      </c>
      <c r="B61" s="9"/>
      <c r="C61" s="55" t="s">
        <v>159</v>
      </c>
      <c r="D61" s="55" t="s">
        <v>160</v>
      </c>
      <c r="E61" s="9"/>
      <c r="F61" s="9" t="s">
        <v>161</v>
      </c>
      <c r="G61" s="9"/>
      <c r="H61" s="9"/>
      <c r="I61" s="9"/>
      <c r="J61" s="11" t="s">
        <v>162</v>
      </c>
      <c r="K61" s="21"/>
      <c r="L61" s="18" t="s">
        <v>182</v>
      </c>
    </row>
    <row r="62" spans="1:12" x14ac:dyDescent="0.2">
      <c r="A62" s="3" t="s">
        <v>149</v>
      </c>
      <c r="B62" s="1"/>
      <c r="C62" s="1"/>
      <c r="D62" s="1"/>
      <c r="E62" s="1"/>
      <c r="F62" s="1"/>
      <c r="G62" s="1">
        <v>40</v>
      </c>
      <c r="H62" s="1">
        <v>30</v>
      </c>
      <c r="I62" s="1" t="s">
        <v>167</v>
      </c>
      <c r="J62" s="4" t="s">
        <v>168</v>
      </c>
      <c r="K62" s="21"/>
      <c r="L62" s="18" t="s">
        <v>183</v>
      </c>
    </row>
    <row r="63" spans="1:12" x14ac:dyDescent="0.2">
      <c r="A63" s="56" t="s">
        <v>149</v>
      </c>
      <c r="B63" s="1"/>
      <c r="C63" s="1"/>
      <c r="D63" s="1"/>
      <c r="E63" s="1"/>
      <c r="F63" s="1"/>
      <c r="G63" s="1">
        <v>35</v>
      </c>
      <c r="H63" s="1">
        <v>20</v>
      </c>
      <c r="I63" s="1">
        <v>12</v>
      </c>
      <c r="J63" s="4" t="s">
        <v>170</v>
      </c>
      <c r="K63" s="21"/>
      <c r="L63" s="18" t="s">
        <v>185</v>
      </c>
    </row>
    <row r="64" spans="1:12" x14ac:dyDescent="0.2">
      <c r="A64" s="3" t="s">
        <v>149</v>
      </c>
      <c r="B64" s="1"/>
      <c r="C64" s="1"/>
      <c r="D64" s="1"/>
      <c r="E64" s="1"/>
      <c r="F64" s="1"/>
      <c r="G64" s="1" t="s">
        <v>172</v>
      </c>
      <c r="H64" s="1" t="s">
        <v>173</v>
      </c>
      <c r="I64" s="1" t="s">
        <v>167</v>
      </c>
      <c r="J64" s="4" t="s">
        <v>174</v>
      </c>
      <c r="K64" s="21"/>
      <c r="L64" s="18" t="s">
        <v>184</v>
      </c>
    </row>
    <row r="65" spans="1:12" ht="17" thickBot="1" x14ac:dyDescent="0.25">
      <c r="A65" s="5" t="s">
        <v>91</v>
      </c>
      <c r="B65" s="6">
        <v>15</v>
      </c>
      <c r="C65" s="6"/>
      <c r="D65" s="6"/>
      <c r="E65" s="6"/>
      <c r="F65" s="6"/>
      <c r="G65" s="6"/>
      <c r="H65" s="6"/>
      <c r="I65" s="6"/>
      <c r="J65" s="7" t="s">
        <v>176</v>
      </c>
      <c r="K65" s="21"/>
      <c r="L65" s="19"/>
    </row>
    <row r="66" spans="1:12" x14ac:dyDescent="0.2">
      <c r="A66" s="21"/>
      <c r="B66" s="21"/>
      <c r="C66" s="21"/>
      <c r="D66" s="21"/>
      <c r="E66" s="21"/>
      <c r="F66" s="21"/>
      <c r="G66" s="21"/>
      <c r="H66" s="21"/>
      <c r="I66" s="21"/>
      <c r="J66" s="21"/>
      <c r="K66" s="21"/>
    </row>
    <row r="67" spans="1:12" ht="17" thickBot="1" x14ac:dyDescent="0.25">
      <c r="A67" s="21"/>
      <c r="B67" s="21"/>
      <c r="C67" s="21"/>
      <c r="D67" s="21"/>
      <c r="E67" s="21"/>
      <c r="F67" s="21"/>
      <c r="G67" s="21"/>
      <c r="H67" s="21"/>
      <c r="I67" s="21"/>
      <c r="J67" s="21"/>
      <c r="K67" s="21"/>
    </row>
    <row r="68" spans="1:12" x14ac:dyDescent="0.2">
      <c r="A68" s="43" t="s">
        <v>254</v>
      </c>
      <c r="B68" s="44" t="s">
        <v>255</v>
      </c>
      <c r="C68" s="107" t="s">
        <v>256</v>
      </c>
      <c r="D68" s="107"/>
      <c r="E68" s="107"/>
      <c r="F68" s="107"/>
      <c r="G68" s="107"/>
      <c r="H68" s="107"/>
      <c r="I68" s="107"/>
      <c r="J68" s="108"/>
    </row>
    <row r="69" spans="1:12" ht="123" customHeight="1" x14ac:dyDescent="0.2">
      <c r="A69" s="57" t="s">
        <v>32</v>
      </c>
      <c r="B69" s="58" t="s">
        <v>258</v>
      </c>
      <c r="C69" s="101" t="s">
        <v>13</v>
      </c>
      <c r="D69" s="101"/>
      <c r="E69" s="101"/>
      <c r="F69" s="101"/>
      <c r="G69" s="101"/>
      <c r="H69" s="101"/>
      <c r="I69" s="101"/>
      <c r="J69" s="102"/>
    </row>
    <row r="70" spans="1:12" ht="79" customHeight="1" x14ac:dyDescent="0.2">
      <c r="A70" s="57" t="s">
        <v>33</v>
      </c>
      <c r="B70" s="58" t="s">
        <v>259</v>
      </c>
      <c r="C70" s="101" t="s">
        <v>30</v>
      </c>
      <c r="D70" s="101"/>
      <c r="E70" s="101"/>
      <c r="F70" s="101"/>
      <c r="G70" s="101"/>
      <c r="H70" s="101"/>
      <c r="I70" s="101"/>
      <c r="J70" s="102"/>
    </row>
    <row r="71" spans="1:12" ht="63" customHeight="1" x14ac:dyDescent="0.2">
      <c r="A71" s="57" t="s">
        <v>45</v>
      </c>
      <c r="B71" s="58" t="s">
        <v>260</v>
      </c>
      <c r="C71" s="101" t="s">
        <v>46</v>
      </c>
      <c r="D71" s="101"/>
      <c r="E71" s="101"/>
      <c r="F71" s="101"/>
      <c r="G71" s="101"/>
      <c r="H71" s="101"/>
      <c r="I71" s="101"/>
      <c r="J71" s="102"/>
    </row>
    <row r="72" spans="1:12" ht="53" customHeight="1" x14ac:dyDescent="0.2">
      <c r="A72" s="57" t="s">
        <v>51</v>
      </c>
      <c r="B72" s="59" t="s">
        <v>261</v>
      </c>
      <c r="C72" s="101" t="s">
        <v>50</v>
      </c>
      <c r="D72" s="101"/>
      <c r="E72" s="101"/>
      <c r="F72" s="101"/>
      <c r="G72" s="101"/>
      <c r="H72" s="101"/>
      <c r="I72" s="101"/>
      <c r="J72" s="102"/>
    </row>
    <row r="73" spans="1:12" ht="194" customHeight="1" x14ac:dyDescent="0.2">
      <c r="A73" s="57" t="s">
        <v>54</v>
      </c>
      <c r="B73" s="58" t="s">
        <v>262</v>
      </c>
      <c r="C73" s="103" t="s">
        <v>55</v>
      </c>
      <c r="D73" s="103"/>
      <c r="E73" s="103"/>
      <c r="F73" s="103"/>
      <c r="G73" s="103"/>
      <c r="H73" s="103"/>
      <c r="I73" s="103"/>
      <c r="J73" s="104"/>
    </row>
    <row r="74" spans="1:12" ht="173" customHeight="1" x14ac:dyDescent="0.2">
      <c r="A74" s="60" t="s">
        <v>56</v>
      </c>
      <c r="B74" s="58" t="s">
        <v>263</v>
      </c>
      <c r="C74" s="105" t="s">
        <v>57</v>
      </c>
      <c r="D74" s="105"/>
      <c r="E74" s="105"/>
      <c r="F74" s="105"/>
      <c r="G74" s="105"/>
      <c r="H74" s="105"/>
      <c r="I74" s="105"/>
      <c r="J74" s="106"/>
    </row>
    <row r="75" spans="1:12" ht="77" customHeight="1" x14ac:dyDescent="0.2">
      <c r="A75" s="60" t="s">
        <v>80</v>
      </c>
      <c r="B75" s="59" t="s">
        <v>264</v>
      </c>
      <c r="C75" s="105" t="s">
        <v>79</v>
      </c>
      <c r="D75" s="105"/>
      <c r="E75" s="105"/>
      <c r="F75" s="105"/>
      <c r="G75" s="105"/>
      <c r="H75" s="105"/>
      <c r="I75" s="105"/>
      <c r="J75" s="106"/>
    </row>
    <row r="76" spans="1:12" ht="50" customHeight="1" x14ac:dyDescent="0.2">
      <c r="A76" s="60" t="s">
        <v>82</v>
      </c>
      <c r="B76" s="59" t="s">
        <v>265</v>
      </c>
      <c r="C76" s="105" t="s">
        <v>83</v>
      </c>
      <c r="D76" s="105"/>
      <c r="E76" s="105"/>
      <c r="F76" s="105"/>
      <c r="G76" s="105"/>
      <c r="H76" s="105"/>
      <c r="I76" s="105"/>
      <c r="J76" s="106"/>
    </row>
    <row r="77" spans="1:12" ht="68" x14ac:dyDescent="0.2">
      <c r="A77" s="61" t="s">
        <v>88</v>
      </c>
      <c r="B77" s="59" t="s">
        <v>266</v>
      </c>
      <c r="C77" s="99" t="s">
        <v>89</v>
      </c>
      <c r="D77" s="99"/>
      <c r="E77" s="99"/>
      <c r="F77" s="99"/>
      <c r="G77" s="99"/>
      <c r="H77" s="99"/>
      <c r="I77" s="99"/>
      <c r="J77" s="100"/>
    </row>
    <row r="78" spans="1:12" ht="34" x14ac:dyDescent="0.2">
      <c r="A78" s="61" t="s">
        <v>147</v>
      </c>
      <c r="B78" s="59" t="s">
        <v>267</v>
      </c>
      <c r="C78" s="99" t="s">
        <v>148</v>
      </c>
      <c r="D78" s="99"/>
      <c r="E78" s="99"/>
      <c r="F78" s="99"/>
      <c r="G78" s="99"/>
      <c r="H78" s="99"/>
      <c r="I78" s="99"/>
      <c r="J78" s="100"/>
    </row>
    <row r="79" spans="1:12" ht="34" x14ac:dyDescent="0.2">
      <c r="A79" s="61" t="s">
        <v>152</v>
      </c>
      <c r="B79" s="59" t="s">
        <v>268</v>
      </c>
      <c r="C79" s="99" t="s">
        <v>151</v>
      </c>
      <c r="D79" s="99"/>
      <c r="E79" s="99"/>
      <c r="F79" s="99"/>
      <c r="G79" s="99"/>
      <c r="H79" s="99"/>
      <c r="I79" s="99"/>
      <c r="J79" s="100"/>
    </row>
    <row r="80" spans="1:12" ht="216" x14ac:dyDescent="0.2">
      <c r="A80" s="61" t="s">
        <v>162</v>
      </c>
      <c r="B80" s="63" t="s">
        <v>269</v>
      </c>
      <c r="C80" s="99" t="s">
        <v>163</v>
      </c>
      <c r="D80" s="99"/>
      <c r="E80" s="99"/>
      <c r="F80" s="99"/>
      <c r="G80" s="99"/>
      <c r="H80" s="99"/>
      <c r="I80" s="99"/>
      <c r="J80" s="100"/>
    </row>
    <row r="81" spans="1:10" ht="51" x14ac:dyDescent="0.2">
      <c r="A81" s="61" t="s">
        <v>168</v>
      </c>
      <c r="B81" s="59" t="s">
        <v>270</v>
      </c>
      <c r="C81" s="99" t="s">
        <v>169</v>
      </c>
      <c r="D81" s="99"/>
      <c r="E81" s="99"/>
      <c r="F81" s="99"/>
      <c r="G81" s="99"/>
      <c r="H81" s="99"/>
      <c r="I81" s="99"/>
      <c r="J81" s="100"/>
    </row>
    <row r="82" spans="1:10" ht="144" x14ac:dyDescent="0.2">
      <c r="A82" s="61" t="s">
        <v>170</v>
      </c>
      <c r="B82" s="63" t="s">
        <v>271</v>
      </c>
      <c r="C82" s="99" t="s">
        <v>171</v>
      </c>
      <c r="D82" s="99"/>
      <c r="E82" s="99"/>
      <c r="F82" s="99"/>
      <c r="G82" s="99"/>
      <c r="H82" s="99"/>
      <c r="I82" s="99"/>
      <c r="J82" s="100"/>
    </row>
    <row r="83" spans="1:10" ht="85" x14ac:dyDescent="0.2">
      <c r="A83" s="61" t="s">
        <v>174</v>
      </c>
      <c r="B83" s="59" t="s">
        <v>272</v>
      </c>
      <c r="C83" s="99" t="s">
        <v>175</v>
      </c>
      <c r="D83" s="99"/>
      <c r="E83" s="99"/>
      <c r="F83" s="99"/>
      <c r="G83" s="99"/>
      <c r="H83" s="99"/>
      <c r="I83" s="99"/>
      <c r="J83" s="100"/>
    </row>
    <row r="84" spans="1:10" ht="270" x14ac:dyDescent="0.2">
      <c r="A84" s="61" t="s">
        <v>176</v>
      </c>
      <c r="B84" s="63" t="s">
        <v>273</v>
      </c>
      <c r="C84" s="99" t="s">
        <v>177</v>
      </c>
      <c r="D84" s="99"/>
      <c r="E84" s="99"/>
      <c r="F84" s="99"/>
      <c r="G84" s="99"/>
      <c r="H84" s="99"/>
      <c r="I84" s="99"/>
      <c r="J84" s="100"/>
    </row>
    <row r="85" spans="1:10" ht="216" x14ac:dyDescent="0.2">
      <c r="A85" s="61" t="s">
        <v>189</v>
      </c>
      <c r="B85" s="63" t="s">
        <v>274</v>
      </c>
      <c r="C85" s="99" t="s">
        <v>188</v>
      </c>
      <c r="D85" s="99"/>
      <c r="E85" s="99"/>
      <c r="F85" s="99"/>
      <c r="G85" s="99"/>
      <c r="H85" s="99"/>
      <c r="I85" s="99"/>
      <c r="J85" s="100"/>
    </row>
    <row r="86" spans="1:10" ht="234" x14ac:dyDescent="0.2">
      <c r="A86" s="61" t="s">
        <v>192</v>
      </c>
      <c r="B86" s="63" t="s">
        <v>275</v>
      </c>
      <c r="C86" s="99" t="s">
        <v>193</v>
      </c>
      <c r="D86" s="99"/>
      <c r="E86" s="99"/>
      <c r="F86" s="99"/>
      <c r="G86" s="99"/>
      <c r="H86" s="99"/>
      <c r="I86" s="99"/>
      <c r="J86" s="100"/>
    </row>
    <row r="87" spans="1:10" ht="69" thickBot="1" x14ac:dyDescent="0.25">
      <c r="A87" s="64" t="s">
        <v>194</v>
      </c>
      <c r="B87" s="65" t="s">
        <v>276</v>
      </c>
      <c r="C87" s="109" t="s">
        <v>195</v>
      </c>
      <c r="D87" s="109"/>
      <c r="E87" s="109"/>
      <c r="F87" s="109"/>
      <c r="G87" s="109"/>
      <c r="H87" s="109"/>
      <c r="I87" s="109"/>
      <c r="J87" s="110"/>
    </row>
  </sheetData>
  <mergeCells count="20">
    <mergeCell ref="C83:J83"/>
    <mergeCell ref="C84:J84"/>
    <mergeCell ref="C85:J85"/>
    <mergeCell ref="C86:J86"/>
    <mergeCell ref="C87:J87"/>
    <mergeCell ref="C68:J68"/>
    <mergeCell ref="C77:J77"/>
    <mergeCell ref="C78:J78"/>
    <mergeCell ref="C79:J79"/>
    <mergeCell ref="C80:J80"/>
    <mergeCell ref="C70:J70"/>
    <mergeCell ref="C69:J69"/>
    <mergeCell ref="C81:J81"/>
    <mergeCell ref="C82:J82"/>
    <mergeCell ref="C71:J71"/>
    <mergeCell ref="C72:J72"/>
    <mergeCell ref="C73:J73"/>
    <mergeCell ref="C74:J74"/>
    <mergeCell ref="C75:J75"/>
    <mergeCell ref="C76:J7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9F2AA-B139-C24B-AE17-5D79B5E5FAB4}">
  <dimension ref="A1:T40"/>
  <sheetViews>
    <sheetView zoomScale="75" workbookViewId="0">
      <selection activeCell="Q12" sqref="Q12"/>
    </sheetView>
  </sheetViews>
  <sheetFormatPr baseColWidth="10" defaultRowHeight="16" x14ac:dyDescent="0.2"/>
  <cols>
    <col min="1" max="1" width="12.6640625" customWidth="1"/>
    <col min="2" max="2" width="41.33203125" customWidth="1"/>
    <col min="9" max="9" width="23.33203125" customWidth="1"/>
    <col min="10" max="10" width="10.6640625" customWidth="1"/>
    <col min="11" max="17" width="23.33203125" customWidth="1"/>
    <col min="19" max="19" width="6.1640625" customWidth="1"/>
    <col min="20" max="20" width="69.5" customWidth="1"/>
  </cols>
  <sheetData>
    <row r="1" spans="1:20" x14ac:dyDescent="0.2">
      <c r="A1" s="46" t="s">
        <v>58</v>
      </c>
      <c r="B1" s="47" t="s">
        <v>60</v>
      </c>
      <c r="C1" s="47" t="s">
        <v>106</v>
      </c>
      <c r="D1" s="47" t="s">
        <v>112</v>
      </c>
      <c r="E1" s="47" t="s">
        <v>101</v>
      </c>
      <c r="F1" s="47" t="s">
        <v>100</v>
      </c>
      <c r="G1" s="47" t="s">
        <v>99</v>
      </c>
      <c r="H1" s="47" t="s">
        <v>119</v>
      </c>
      <c r="I1" s="47" t="s">
        <v>122</v>
      </c>
      <c r="J1" s="47" t="s">
        <v>135</v>
      </c>
      <c r="K1" s="47" t="s">
        <v>78</v>
      </c>
      <c r="L1" s="47" t="s">
        <v>200</v>
      </c>
      <c r="M1" s="47" t="s">
        <v>201</v>
      </c>
      <c r="N1" s="47" t="s">
        <v>202</v>
      </c>
      <c r="O1" s="47" t="s">
        <v>203</v>
      </c>
      <c r="P1" s="47" t="s">
        <v>157</v>
      </c>
      <c r="Q1" s="47" t="s">
        <v>204</v>
      </c>
      <c r="R1" s="48" t="s">
        <v>31</v>
      </c>
      <c r="S1" s="21"/>
      <c r="T1" s="52" t="s">
        <v>92</v>
      </c>
    </row>
    <row r="2" spans="1:20" x14ac:dyDescent="0.2">
      <c r="A2" s="22" t="s">
        <v>59</v>
      </c>
      <c r="B2" s="23">
        <v>138.1</v>
      </c>
      <c r="C2" s="23"/>
      <c r="D2" s="23"/>
      <c r="E2" s="23"/>
      <c r="F2" s="23"/>
      <c r="G2" s="23"/>
      <c r="H2" s="23"/>
      <c r="I2" s="23"/>
      <c r="J2" s="23"/>
      <c r="K2" s="23"/>
      <c r="L2" s="23"/>
      <c r="M2" s="23"/>
      <c r="N2" s="23"/>
      <c r="O2" s="23"/>
      <c r="P2" s="23"/>
      <c r="Q2" s="23"/>
      <c r="R2" s="26" t="s">
        <v>56</v>
      </c>
      <c r="S2" s="21"/>
      <c r="T2" s="17"/>
    </row>
    <row r="3" spans="1:20" x14ac:dyDescent="0.2">
      <c r="A3" s="3"/>
      <c r="B3" s="1"/>
      <c r="C3" s="1" t="s">
        <v>107</v>
      </c>
      <c r="D3" s="2">
        <f>AVERAGE(1.8,4.7)/0.404</f>
        <v>8.0445544554455441</v>
      </c>
      <c r="E3" s="1"/>
      <c r="F3" s="1"/>
      <c r="G3" s="1"/>
      <c r="H3" s="1"/>
      <c r="I3" s="1"/>
      <c r="J3" s="1"/>
      <c r="K3" s="1"/>
      <c r="L3" s="1"/>
      <c r="M3" s="1"/>
      <c r="N3" s="1"/>
      <c r="O3" s="1"/>
      <c r="P3" s="1"/>
      <c r="Q3" s="1"/>
      <c r="R3" s="4" t="s">
        <v>108</v>
      </c>
      <c r="S3" s="21"/>
      <c r="T3" s="17"/>
    </row>
    <row r="4" spans="1:20" x14ac:dyDescent="0.2">
      <c r="A4" s="3"/>
      <c r="B4" s="1"/>
      <c r="C4" s="1"/>
      <c r="D4" s="2">
        <f>(AVERAGE(453,336,490,380,430)/1000)*3.14*10000/1000</f>
        <v>13.118919999999999</v>
      </c>
      <c r="E4" s="1"/>
      <c r="F4" s="1"/>
      <c r="G4" s="1"/>
      <c r="H4" s="1"/>
      <c r="I4" s="1"/>
      <c r="J4" s="1"/>
      <c r="K4" s="1"/>
      <c r="L4" s="1"/>
      <c r="M4" s="1"/>
      <c r="N4" s="1"/>
      <c r="O4" s="1"/>
      <c r="P4" s="1"/>
      <c r="Q4" s="1"/>
      <c r="R4" s="4" t="s">
        <v>111</v>
      </c>
      <c r="S4" s="21"/>
      <c r="T4" s="17"/>
    </row>
    <row r="5" spans="1:20" x14ac:dyDescent="0.2">
      <c r="A5" s="3"/>
      <c r="B5" s="1"/>
      <c r="C5" s="1"/>
      <c r="D5" s="2">
        <f>0.26*3.14</f>
        <v>0.81640000000000001</v>
      </c>
      <c r="E5" s="1"/>
      <c r="F5" s="1"/>
      <c r="G5" s="1"/>
      <c r="H5" s="1"/>
      <c r="I5" s="1"/>
      <c r="J5" s="1"/>
      <c r="K5" s="1"/>
      <c r="L5" s="1"/>
      <c r="M5" s="1"/>
      <c r="N5" s="1"/>
      <c r="O5" s="1"/>
      <c r="P5" s="1"/>
      <c r="Q5" s="1"/>
      <c r="R5" s="4" t="s">
        <v>113</v>
      </c>
      <c r="S5" s="21"/>
      <c r="T5" s="17"/>
    </row>
    <row r="6" spans="1:20" x14ac:dyDescent="0.2">
      <c r="A6" s="3"/>
      <c r="B6" s="1"/>
      <c r="C6" s="1"/>
      <c r="D6" s="1"/>
      <c r="E6" s="1">
        <v>80</v>
      </c>
      <c r="F6" s="1">
        <v>60</v>
      </c>
      <c r="G6" s="1">
        <v>40</v>
      </c>
      <c r="H6" s="1" t="s">
        <v>105</v>
      </c>
      <c r="I6" s="1"/>
      <c r="J6" s="1"/>
      <c r="K6" s="1"/>
      <c r="L6" s="1"/>
      <c r="M6" s="1"/>
      <c r="N6" s="1"/>
      <c r="O6" s="1"/>
      <c r="P6" s="1"/>
      <c r="Q6" s="1"/>
      <c r="R6" s="4" t="s">
        <v>102</v>
      </c>
      <c r="S6" s="21"/>
      <c r="T6" s="18" t="s">
        <v>137</v>
      </c>
    </row>
    <row r="7" spans="1:20" x14ac:dyDescent="0.2">
      <c r="A7" s="3"/>
      <c r="B7" s="1"/>
      <c r="C7" s="1"/>
      <c r="D7" s="1"/>
      <c r="E7" s="1"/>
      <c r="F7" s="1"/>
      <c r="G7" s="1"/>
      <c r="H7" s="1">
        <v>14.4</v>
      </c>
      <c r="I7" s="1" t="s">
        <v>125</v>
      </c>
      <c r="J7" s="1">
        <f>AVERAGE(521,786)*(10^4)/1000</f>
        <v>6535</v>
      </c>
      <c r="K7" s="2">
        <f>J7/$H$10</f>
        <v>677.06174886033989</v>
      </c>
      <c r="L7" s="1"/>
      <c r="M7" s="1"/>
      <c r="N7" s="1"/>
      <c r="O7" s="1"/>
      <c r="P7" s="1"/>
      <c r="Q7" s="1"/>
      <c r="R7" s="4" t="s">
        <v>124</v>
      </c>
      <c r="S7" s="21"/>
      <c r="T7" s="18" t="s">
        <v>138</v>
      </c>
    </row>
    <row r="8" spans="1:20" x14ac:dyDescent="0.2">
      <c r="A8" s="3"/>
      <c r="B8" s="1"/>
      <c r="C8" s="1"/>
      <c r="D8" s="1"/>
      <c r="E8" s="1"/>
      <c r="F8" s="1"/>
      <c r="G8" s="1"/>
      <c r="H8" s="1"/>
      <c r="I8" s="1" t="s">
        <v>131</v>
      </c>
      <c r="J8" s="1">
        <f>AVERAGE(580,620)*(10^4)/1000</f>
        <v>6000</v>
      </c>
      <c r="K8" s="2">
        <f>J8/$H$10</f>
        <v>621.6328222130129</v>
      </c>
      <c r="L8" s="1"/>
      <c r="M8" s="1"/>
      <c r="N8" s="1"/>
      <c r="O8" s="1"/>
      <c r="P8" s="1"/>
      <c r="Q8" s="1"/>
      <c r="R8" s="4" t="s">
        <v>129</v>
      </c>
      <c r="S8" s="21"/>
      <c r="T8" s="18"/>
    </row>
    <row r="9" spans="1:20" x14ac:dyDescent="0.2">
      <c r="A9" s="3"/>
      <c r="B9" s="1"/>
      <c r="C9" s="1"/>
      <c r="D9" s="1"/>
      <c r="E9" s="1"/>
      <c r="F9" s="1"/>
      <c r="G9" s="1"/>
      <c r="H9" s="1" t="s">
        <v>132</v>
      </c>
      <c r="I9" s="1"/>
      <c r="J9" s="1"/>
      <c r="K9" s="1"/>
      <c r="L9" s="1"/>
      <c r="M9" s="1"/>
      <c r="N9" s="1"/>
      <c r="O9" s="1"/>
      <c r="P9" s="1"/>
      <c r="Q9" s="1"/>
      <c r="R9" s="4" t="s">
        <v>134</v>
      </c>
      <c r="S9" s="21"/>
      <c r="T9" s="18"/>
    </row>
    <row r="10" spans="1:20" x14ac:dyDescent="0.2">
      <c r="A10" s="42" t="s">
        <v>136</v>
      </c>
      <c r="B10" s="2">
        <f>AVERAGE(B2:B9)</f>
        <v>138.1</v>
      </c>
      <c r="C10" s="2">
        <f>AVERAGE(1.8,4.7)</f>
        <v>3.25</v>
      </c>
      <c r="D10" s="2">
        <f>AVERAGE(D2:D9)</f>
        <v>7.3266248184818492</v>
      </c>
      <c r="E10" s="2">
        <f>E6</f>
        <v>80</v>
      </c>
      <c r="F10" s="2">
        <f>F6</f>
        <v>60</v>
      </c>
      <c r="G10" s="2">
        <f>G6</f>
        <v>40</v>
      </c>
      <c r="H10" s="2">
        <f>AVERAGE(8,11,14.4,6.6,8.26)</f>
        <v>9.6519999999999992</v>
      </c>
      <c r="I10" s="2">
        <f>AVERAGE(521,786,580,620)</f>
        <v>626.75</v>
      </c>
      <c r="J10" s="2">
        <f>AVERAGE(6535,6000)</f>
        <v>6267.5</v>
      </c>
      <c r="K10" s="2">
        <f>J10/$H$10</f>
        <v>649.3472855366764</v>
      </c>
      <c r="L10" s="1"/>
      <c r="M10" s="1"/>
      <c r="N10" s="1"/>
      <c r="O10" s="1"/>
      <c r="P10" s="1"/>
      <c r="Q10" s="1"/>
      <c r="R10" s="4"/>
      <c r="S10" s="21"/>
      <c r="T10" s="18" t="s">
        <v>139</v>
      </c>
    </row>
    <row r="11" spans="1:20" x14ac:dyDescent="0.2">
      <c r="A11" s="42"/>
      <c r="B11" s="2"/>
      <c r="C11" s="2"/>
      <c r="D11" s="2"/>
      <c r="E11" s="2"/>
      <c r="F11" s="2"/>
      <c r="G11" s="2"/>
      <c r="H11" s="2"/>
      <c r="I11" s="2"/>
      <c r="J11" s="2"/>
      <c r="K11" s="2"/>
      <c r="L11" t="s">
        <v>208</v>
      </c>
      <c r="M11" t="s">
        <v>209</v>
      </c>
      <c r="N11" t="s">
        <v>210</v>
      </c>
      <c r="R11" s="4" t="s">
        <v>207</v>
      </c>
      <c r="S11" s="21"/>
      <c r="T11" s="18" t="s">
        <v>213</v>
      </c>
    </row>
    <row r="12" spans="1:20" x14ac:dyDescent="0.2">
      <c r="A12" s="42"/>
      <c r="B12" s="2"/>
      <c r="C12" s="2"/>
      <c r="D12" s="2"/>
      <c r="E12" s="2"/>
      <c r="F12" s="2"/>
      <c r="G12" s="2"/>
      <c r="H12" s="2"/>
      <c r="I12" s="2"/>
      <c r="J12" s="2"/>
      <c r="K12" s="2"/>
      <c r="L12" s="1">
        <v>70</v>
      </c>
      <c r="M12" s="1"/>
      <c r="N12" s="1">
        <v>23</v>
      </c>
      <c r="O12" s="1">
        <v>23</v>
      </c>
      <c r="P12" s="1"/>
      <c r="Q12" s="1"/>
      <c r="R12" s="4" t="s">
        <v>212</v>
      </c>
      <c r="S12" s="21"/>
      <c r="T12" s="18" t="s">
        <v>205</v>
      </c>
    </row>
    <row r="13" spans="1:20" x14ac:dyDescent="0.2">
      <c r="A13" s="22" t="s">
        <v>98</v>
      </c>
      <c r="B13" s="23"/>
      <c r="C13" s="23"/>
      <c r="D13" s="24">
        <f>0.94*3.14</f>
        <v>2.9516</v>
      </c>
      <c r="E13" s="23"/>
      <c r="F13" s="23"/>
      <c r="G13" s="23"/>
      <c r="H13" s="23"/>
      <c r="I13" s="23"/>
      <c r="J13" s="23"/>
      <c r="K13" s="24"/>
      <c r="L13" s="23"/>
      <c r="M13" s="23"/>
      <c r="N13" s="23"/>
      <c r="O13" s="23"/>
      <c r="P13" s="23"/>
      <c r="Q13" s="23"/>
      <c r="R13" s="26" t="s">
        <v>113</v>
      </c>
      <c r="S13" s="21"/>
      <c r="T13" s="18" t="s">
        <v>140</v>
      </c>
    </row>
    <row r="14" spans="1:20" x14ac:dyDescent="0.2">
      <c r="A14" s="3"/>
      <c r="B14" s="1"/>
      <c r="C14" s="1"/>
      <c r="D14" s="2">
        <f>0.64*3.14</f>
        <v>2.0096000000000003</v>
      </c>
      <c r="E14" s="1"/>
      <c r="F14" s="1"/>
      <c r="G14" s="1"/>
      <c r="H14" s="1"/>
      <c r="I14" s="1"/>
      <c r="J14" s="1"/>
      <c r="K14" s="2"/>
      <c r="L14" s="1"/>
      <c r="M14" s="1"/>
      <c r="N14" s="1"/>
      <c r="O14" s="1"/>
      <c r="P14" s="1"/>
      <c r="Q14" s="1"/>
      <c r="R14" s="4" t="s">
        <v>113</v>
      </c>
      <c r="S14" s="21"/>
      <c r="T14" s="18" t="s">
        <v>141</v>
      </c>
    </row>
    <row r="15" spans="1:20" x14ac:dyDescent="0.2">
      <c r="A15" s="3"/>
      <c r="B15" s="1">
        <v>1760</v>
      </c>
      <c r="C15" s="1"/>
      <c r="D15" s="2"/>
      <c r="E15" s="1"/>
      <c r="F15" s="1"/>
      <c r="G15" s="1"/>
      <c r="H15" s="1"/>
      <c r="I15" s="1"/>
      <c r="J15" s="1"/>
      <c r="K15" s="2"/>
      <c r="L15" s="1"/>
      <c r="M15" s="1"/>
      <c r="N15" s="1"/>
      <c r="O15" s="1"/>
      <c r="P15" s="1"/>
      <c r="Q15" s="1"/>
      <c r="R15" s="4" t="s">
        <v>114</v>
      </c>
      <c r="S15" s="21"/>
      <c r="T15" s="18"/>
    </row>
    <row r="16" spans="1:20" x14ac:dyDescent="0.2">
      <c r="A16" s="3"/>
      <c r="B16" s="1"/>
      <c r="C16" s="1"/>
      <c r="D16" s="2">
        <f>(678/1000)*10000/1000</f>
        <v>6.7800000000000011</v>
      </c>
      <c r="E16" s="1"/>
      <c r="F16" s="1"/>
      <c r="G16" s="1"/>
      <c r="H16" s="1"/>
      <c r="I16" s="1"/>
      <c r="J16" s="1"/>
      <c r="K16" s="2"/>
      <c r="L16" s="1"/>
      <c r="M16" s="1"/>
      <c r="N16" s="1"/>
      <c r="O16" s="1"/>
      <c r="P16" s="1"/>
      <c r="Q16" s="1"/>
      <c r="R16" s="4" t="s">
        <v>118</v>
      </c>
      <c r="S16" s="21"/>
      <c r="T16" s="18" t="s">
        <v>142</v>
      </c>
    </row>
    <row r="17" spans="1:20" x14ac:dyDescent="0.2">
      <c r="A17" s="3"/>
      <c r="B17" s="1"/>
      <c r="C17" s="1"/>
      <c r="D17" s="1"/>
      <c r="E17" s="1">
        <v>80</v>
      </c>
      <c r="F17" s="1">
        <v>60</v>
      </c>
      <c r="G17" s="1">
        <v>40</v>
      </c>
      <c r="H17" s="1" t="s">
        <v>104</v>
      </c>
      <c r="I17" s="1"/>
      <c r="J17" s="1"/>
      <c r="K17" s="2"/>
      <c r="L17" s="1"/>
      <c r="M17" s="1"/>
      <c r="N17" s="1"/>
      <c r="O17" s="1"/>
      <c r="P17" s="1"/>
      <c r="Q17" s="1"/>
      <c r="R17" s="4" t="s">
        <v>102</v>
      </c>
      <c r="S17" s="21"/>
      <c r="T17" s="18"/>
    </row>
    <row r="18" spans="1:20" x14ac:dyDescent="0.2">
      <c r="A18" s="3"/>
      <c r="B18" s="1"/>
      <c r="C18" s="1"/>
      <c r="D18" s="1"/>
      <c r="E18" s="1"/>
      <c r="F18" s="1"/>
      <c r="G18" s="1"/>
      <c r="H18" s="1" t="s">
        <v>120</v>
      </c>
      <c r="I18" s="1">
        <v>598</v>
      </c>
      <c r="J18" s="1">
        <f>598*(10^4)/1000</f>
        <v>5980</v>
      </c>
      <c r="K18" s="2">
        <f>J18/$H$20</f>
        <v>448.44394450693665</v>
      </c>
      <c r="L18" s="1"/>
      <c r="M18" s="1"/>
      <c r="N18" s="1"/>
      <c r="O18" s="1"/>
      <c r="P18" s="1"/>
      <c r="Q18" s="1"/>
      <c r="R18" s="4" t="s">
        <v>121</v>
      </c>
      <c r="S18" s="21"/>
      <c r="T18" s="18" t="s">
        <v>143</v>
      </c>
    </row>
    <row r="19" spans="1:20" x14ac:dyDescent="0.2">
      <c r="A19" s="3"/>
      <c r="B19" s="1"/>
      <c r="C19" s="1"/>
      <c r="D19" s="1"/>
      <c r="E19" s="1"/>
      <c r="F19" s="1"/>
      <c r="G19" s="1"/>
      <c r="H19" s="1"/>
      <c r="I19" s="1">
        <v>483</v>
      </c>
      <c r="J19" s="1">
        <f>483*(10^4)/1000</f>
        <v>4830</v>
      </c>
      <c r="K19" s="2">
        <f>J19/$H$20</f>
        <v>362.20472440944883</v>
      </c>
      <c r="L19" s="1"/>
      <c r="M19" s="1"/>
      <c r="N19" s="1"/>
      <c r="O19" s="1"/>
      <c r="P19" s="1"/>
      <c r="Q19" s="1"/>
      <c r="R19" s="4" t="s">
        <v>123</v>
      </c>
      <c r="S19" s="21"/>
      <c r="T19" s="18"/>
    </row>
    <row r="20" spans="1:20" x14ac:dyDescent="0.2">
      <c r="A20" s="42" t="s">
        <v>136</v>
      </c>
      <c r="B20" s="2">
        <f>AVERAGE(B13:B19)</f>
        <v>1760</v>
      </c>
      <c r="C20" s="2"/>
      <c r="D20" s="2">
        <f>AVERAGE(D13:D19)</f>
        <v>3.9137333333333335</v>
      </c>
      <c r="E20" s="2">
        <f>E17</f>
        <v>80</v>
      </c>
      <c r="F20" s="2">
        <f>F17</f>
        <v>60</v>
      </c>
      <c r="G20" s="2">
        <f>G17</f>
        <v>40</v>
      </c>
      <c r="H20" s="2">
        <f>AVERAGE(8,18,11.8,15.54)</f>
        <v>13.334999999999999</v>
      </c>
      <c r="I20" s="2">
        <f>AVERAGE(I18:I19)</f>
        <v>540.5</v>
      </c>
      <c r="J20" s="2">
        <f>AVERAGE(J18:J19)</f>
        <v>5405</v>
      </c>
      <c r="K20" s="2">
        <f>J20/$H$20</f>
        <v>405.32433445819277</v>
      </c>
      <c r="R20" s="53"/>
      <c r="S20" s="21"/>
      <c r="T20" s="18" t="s">
        <v>144</v>
      </c>
    </row>
    <row r="21" spans="1:20" x14ac:dyDescent="0.2">
      <c r="A21" s="29"/>
      <c r="B21" s="2"/>
      <c r="C21" s="2"/>
      <c r="D21" s="2"/>
      <c r="E21" s="2"/>
      <c r="F21" s="2"/>
      <c r="G21" s="2"/>
      <c r="H21" s="2"/>
      <c r="I21" s="2"/>
      <c r="J21" s="2"/>
      <c r="K21" s="2"/>
      <c r="L21" s="1">
        <v>30</v>
      </c>
      <c r="M21" s="1">
        <v>20</v>
      </c>
      <c r="N21" s="1">
        <v>20</v>
      </c>
      <c r="O21" s="1">
        <v>20</v>
      </c>
      <c r="P21" s="1">
        <v>1</v>
      </c>
      <c r="Q21" s="1"/>
      <c r="R21" s="4" t="s">
        <v>197</v>
      </c>
      <c r="S21" s="21"/>
      <c r="T21" s="18"/>
    </row>
    <row r="22" spans="1:20" ht="17" thickBot="1" x14ac:dyDescent="0.25">
      <c r="A22" s="41"/>
      <c r="B22" s="41"/>
      <c r="C22" s="41"/>
      <c r="D22" s="41"/>
      <c r="E22" s="41"/>
      <c r="F22" s="41"/>
      <c r="G22" s="41"/>
      <c r="H22" s="41"/>
      <c r="I22" s="41"/>
      <c r="J22" s="41"/>
      <c r="K22" s="41"/>
      <c r="L22" s="41">
        <v>36</v>
      </c>
      <c r="M22" s="41">
        <v>22</v>
      </c>
      <c r="N22" s="41">
        <v>22</v>
      </c>
      <c r="O22" s="41"/>
      <c r="P22" s="41">
        <v>2</v>
      </c>
      <c r="Q22" s="41">
        <v>7</v>
      </c>
      <c r="R22" s="7" t="s">
        <v>199</v>
      </c>
      <c r="S22" s="21"/>
      <c r="T22" s="19"/>
    </row>
    <row r="23" spans="1:20" x14ac:dyDescent="0.2">
      <c r="A23" s="21"/>
      <c r="B23" s="21"/>
      <c r="C23" s="21"/>
      <c r="D23" s="21"/>
      <c r="E23" s="21"/>
      <c r="F23" s="21"/>
      <c r="G23" s="21"/>
      <c r="H23" s="21"/>
      <c r="I23" s="21"/>
      <c r="J23" s="21"/>
      <c r="K23" s="21"/>
      <c r="L23" s="21"/>
      <c r="M23" s="21"/>
      <c r="N23" s="21"/>
      <c r="O23" s="21"/>
      <c r="P23" s="21"/>
      <c r="Q23" s="21"/>
      <c r="R23" s="66"/>
      <c r="S23" s="21"/>
    </row>
    <row r="24" spans="1:20" ht="17" thickBot="1" x14ac:dyDescent="0.25">
      <c r="A24" s="21"/>
      <c r="B24" s="21"/>
      <c r="C24" s="21"/>
      <c r="D24" s="21"/>
      <c r="E24" s="21"/>
      <c r="F24" s="21"/>
      <c r="G24" s="21"/>
      <c r="H24" s="21"/>
      <c r="I24" s="21"/>
      <c r="J24" s="21"/>
      <c r="K24" s="21"/>
      <c r="L24" s="21"/>
      <c r="M24" s="21"/>
      <c r="N24" s="21"/>
      <c r="O24" s="21"/>
      <c r="P24" s="21"/>
      <c r="Q24" s="21"/>
      <c r="R24" s="21"/>
      <c r="S24" s="21"/>
    </row>
    <row r="25" spans="1:20" x14ac:dyDescent="0.2">
      <c r="A25" s="43" t="s">
        <v>257</v>
      </c>
      <c r="B25" s="44" t="s">
        <v>255</v>
      </c>
      <c r="C25" s="107" t="s">
        <v>256</v>
      </c>
      <c r="D25" s="107"/>
      <c r="E25" s="107"/>
      <c r="F25" s="107"/>
      <c r="G25" s="107"/>
      <c r="H25" s="107"/>
      <c r="I25" s="107"/>
      <c r="J25" s="107"/>
      <c r="K25" s="107"/>
      <c r="L25" s="107"/>
      <c r="M25" s="107"/>
      <c r="N25" s="107"/>
      <c r="O25" s="107"/>
      <c r="P25" s="107"/>
      <c r="Q25" s="107"/>
      <c r="R25" s="108"/>
    </row>
    <row r="26" spans="1:20" ht="85" x14ac:dyDescent="0.2">
      <c r="A26" s="67" t="s">
        <v>102</v>
      </c>
      <c r="B26" s="59" t="s">
        <v>277</v>
      </c>
      <c r="C26" s="101" t="s">
        <v>103</v>
      </c>
      <c r="D26" s="101"/>
      <c r="E26" s="101"/>
      <c r="F26" s="101"/>
      <c r="G26" s="101"/>
      <c r="H26" s="101"/>
      <c r="I26" s="101"/>
      <c r="J26" s="101"/>
      <c r="K26" s="101"/>
      <c r="L26" s="101"/>
      <c r="M26" s="101"/>
      <c r="N26" s="101"/>
      <c r="O26" s="101"/>
      <c r="P26" s="101"/>
      <c r="Q26" s="101"/>
      <c r="R26" s="102"/>
    </row>
    <row r="27" spans="1:20" ht="51" x14ac:dyDescent="0.2">
      <c r="A27" s="67" t="s">
        <v>108</v>
      </c>
      <c r="B27" s="59" t="s">
        <v>278</v>
      </c>
      <c r="C27" s="101" t="s">
        <v>109</v>
      </c>
      <c r="D27" s="101"/>
      <c r="E27" s="101"/>
      <c r="F27" s="101"/>
      <c r="G27" s="101"/>
      <c r="H27" s="101"/>
      <c r="I27" s="101"/>
      <c r="J27" s="101"/>
      <c r="K27" s="101"/>
      <c r="L27" s="101"/>
      <c r="M27" s="101"/>
      <c r="N27" s="101"/>
      <c r="O27" s="101"/>
      <c r="P27" s="101"/>
      <c r="Q27" s="101"/>
      <c r="R27" s="102"/>
    </row>
    <row r="28" spans="1:20" ht="102" x14ac:dyDescent="0.2">
      <c r="A28" s="67" t="s">
        <v>111</v>
      </c>
      <c r="B28" s="58" t="s">
        <v>281</v>
      </c>
      <c r="C28" s="101" t="s">
        <v>110</v>
      </c>
      <c r="D28" s="101"/>
      <c r="E28" s="101"/>
      <c r="F28" s="101"/>
      <c r="G28" s="101"/>
      <c r="H28" s="101"/>
      <c r="I28" s="101"/>
      <c r="J28" s="101"/>
      <c r="K28" s="101"/>
      <c r="L28" s="101"/>
      <c r="M28" s="101"/>
      <c r="N28" s="101"/>
      <c r="O28" s="101"/>
      <c r="P28" s="101"/>
      <c r="Q28" s="101"/>
      <c r="R28" s="102"/>
    </row>
    <row r="29" spans="1:20" ht="34" x14ac:dyDescent="0.2">
      <c r="A29" s="67" t="s">
        <v>113</v>
      </c>
      <c r="B29" s="59" t="s">
        <v>279</v>
      </c>
      <c r="C29" s="101" t="s">
        <v>115</v>
      </c>
      <c r="D29" s="101"/>
      <c r="E29" s="101"/>
      <c r="F29" s="101"/>
      <c r="G29" s="101"/>
      <c r="H29" s="101"/>
      <c r="I29" s="101"/>
      <c r="J29" s="101"/>
      <c r="K29" s="101"/>
      <c r="L29" s="101"/>
      <c r="M29" s="101"/>
      <c r="N29" s="101"/>
      <c r="O29" s="101"/>
      <c r="P29" s="101"/>
      <c r="Q29" s="101"/>
      <c r="R29" s="102"/>
    </row>
    <row r="30" spans="1:20" ht="34" x14ac:dyDescent="0.2">
      <c r="A30" s="67" t="s">
        <v>114</v>
      </c>
      <c r="B30" s="59" t="s">
        <v>280</v>
      </c>
      <c r="C30" s="101" t="s">
        <v>116</v>
      </c>
      <c r="D30" s="101"/>
      <c r="E30" s="101"/>
      <c r="F30" s="101"/>
      <c r="G30" s="101"/>
      <c r="H30" s="101"/>
      <c r="I30" s="101"/>
      <c r="J30" s="101"/>
      <c r="K30" s="101"/>
      <c r="L30" s="101"/>
      <c r="M30" s="101"/>
      <c r="N30" s="101"/>
      <c r="O30" s="101"/>
      <c r="P30" s="101"/>
      <c r="Q30" s="101"/>
      <c r="R30" s="102"/>
    </row>
    <row r="31" spans="1:20" ht="102" x14ac:dyDescent="0.2">
      <c r="A31" s="67" t="s">
        <v>118</v>
      </c>
      <c r="B31" s="58" t="s">
        <v>282</v>
      </c>
      <c r="C31" s="101" t="s">
        <v>117</v>
      </c>
      <c r="D31" s="101"/>
      <c r="E31" s="101"/>
      <c r="F31" s="101"/>
      <c r="G31" s="101"/>
      <c r="H31" s="101"/>
      <c r="I31" s="101"/>
      <c r="J31" s="101"/>
      <c r="K31" s="101"/>
      <c r="L31" s="101"/>
      <c r="M31" s="101"/>
      <c r="N31" s="101"/>
      <c r="O31" s="101"/>
      <c r="P31" s="101"/>
      <c r="Q31" s="101"/>
      <c r="R31" s="102"/>
    </row>
    <row r="32" spans="1:20" ht="119" x14ac:dyDescent="0.2">
      <c r="A32" s="67" t="s">
        <v>121</v>
      </c>
      <c r="B32" s="58" t="s">
        <v>283</v>
      </c>
      <c r="C32" s="113" t="s">
        <v>126</v>
      </c>
      <c r="D32" s="113"/>
      <c r="E32" s="113"/>
      <c r="F32" s="113"/>
      <c r="G32" s="113"/>
      <c r="H32" s="113"/>
      <c r="I32" s="113"/>
      <c r="J32" s="113"/>
      <c r="K32" s="113"/>
      <c r="L32" s="113"/>
      <c r="M32" s="113"/>
      <c r="N32" s="113"/>
      <c r="O32" s="113"/>
      <c r="P32" s="113"/>
      <c r="Q32" s="113"/>
      <c r="R32" s="114"/>
    </row>
    <row r="33" spans="1:18" ht="119" x14ac:dyDescent="0.2">
      <c r="A33" s="67" t="s">
        <v>123</v>
      </c>
      <c r="B33" s="58" t="s">
        <v>284</v>
      </c>
      <c r="C33" s="101" t="s">
        <v>127</v>
      </c>
      <c r="D33" s="101"/>
      <c r="E33" s="101"/>
      <c r="F33" s="101"/>
      <c r="G33" s="101"/>
      <c r="H33" s="101"/>
      <c r="I33" s="101"/>
      <c r="J33" s="101"/>
      <c r="K33" s="101"/>
      <c r="L33" s="101"/>
      <c r="M33" s="101"/>
      <c r="N33" s="101"/>
      <c r="O33" s="101"/>
      <c r="P33" s="101"/>
      <c r="Q33" s="101"/>
      <c r="R33" s="102"/>
    </row>
    <row r="34" spans="1:18" ht="102" x14ac:dyDescent="0.2">
      <c r="A34" s="67" t="s">
        <v>124</v>
      </c>
      <c r="B34" s="58" t="s">
        <v>285</v>
      </c>
      <c r="C34" s="101" t="s">
        <v>128</v>
      </c>
      <c r="D34" s="101"/>
      <c r="E34" s="101"/>
      <c r="F34" s="101"/>
      <c r="G34" s="101"/>
      <c r="H34" s="101"/>
      <c r="I34" s="101"/>
      <c r="J34" s="101"/>
      <c r="K34" s="101"/>
      <c r="L34" s="101"/>
      <c r="M34" s="101"/>
      <c r="N34" s="101"/>
      <c r="O34" s="101"/>
      <c r="P34" s="101"/>
      <c r="Q34" s="101"/>
      <c r="R34" s="102"/>
    </row>
    <row r="35" spans="1:18" ht="119" x14ac:dyDescent="0.2">
      <c r="A35" s="67" t="s">
        <v>129</v>
      </c>
      <c r="B35" s="58" t="s">
        <v>286</v>
      </c>
      <c r="C35" s="101" t="s">
        <v>130</v>
      </c>
      <c r="D35" s="101"/>
      <c r="E35" s="101"/>
      <c r="F35" s="101"/>
      <c r="G35" s="101"/>
      <c r="H35" s="101"/>
      <c r="I35" s="101"/>
      <c r="J35" s="101"/>
      <c r="K35" s="101"/>
      <c r="L35" s="101"/>
      <c r="M35" s="101"/>
      <c r="N35" s="101"/>
      <c r="O35" s="101"/>
      <c r="P35" s="101"/>
      <c r="Q35" s="101"/>
      <c r="R35" s="102"/>
    </row>
    <row r="36" spans="1:18" ht="102" x14ac:dyDescent="0.2">
      <c r="A36" s="67" t="s">
        <v>134</v>
      </c>
      <c r="B36" s="58" t="s">
        <v>281</v>
      </c>
      <c r="C36" s="101" t="s">
        <v>133</v>
      </c>
      <c r="D36" s="101"/>
      <c r="E36" s="101"/>
      <c r="F36" s="101"/>
      <c r="G36" s="101"/>
      <c r="H36" s="101"/>
      <c r="I36" s="101"/>
      <c r="J36" s="101"/>
      <c r="K36" s="101"/>
      <c r="L36" s="101"/>
      <c r="M36" s="101"/>
      <c r="N36" s="101"/>
      <c r="O36" s="101"/>
      <c r="P36" s="101"/>
      <c r="Q36" s="101"/>
      <c r="R36" s="102"/>
    </row>
    <row r="37" spans="1:18" ht="119" x14ac:dyDescent="0.2">
      <c r="A37" s="67" t="s">
        <v>197</v>
      </c>
      <c r="B37" s="58" t="s">
        <v>287</v>
      </c>
      <c r="C37" s="101" t="s">
        <v>196</v>
      </c>
      <c r="D37" s="101"/>
      <c r="E37" s="101"/>
      <c r="F37" s="101"/>
      <c r="G37" s="101"/>
      <c r="H37" s="101"/>
      <c r="I37" s="101"/>
      <c r="J37" s="101"/>
      <c r="K37" s="101"/>
      <c r="L37" s="101"/>
      <c r="M37" s="101"/>
      <c r="N37" s="101"/>
      <c r="O37" s="101"/>
      <c r="P37" s="101"/>
      <c r="Q37" s="101"/>
      <c r="R37" s="102"/>
    </row>
    <row r="38" spans="1:18" ht="102" x14ac:dyDescent="0.2">
      <c r="A38" s="67" t="s">
        <v>199</v>
      </c>
      <c r="B38" s="58" t="s">
        <v>288</v>
      </c>
      <c r="C38" s="101" t="s">
        <v>198</v>
      </c>
      <c r="D38" s="101"/>
      <c r="E38" s="101"/>
      <c r="F38" s="101"/>
      <c r="G38" s="101"/>
      <c r="H38" s="101"/>
      <c r="I38" s="101"/>
      <c r="J38" s="101"/>
      <c r="K38" s="101"/>
      <c r="L38" s="101"/>
      <c r="M38" s="101"/>
      <c r="N38" s="101"/>
      <c r="O38" s="101"/>
      <c r="P38" s="101"/>
      <c r="Q38" s="101"/>
      <c r="R38" s="102"/>
    </row>
    <row r="39" spans="1:18" ht="102" x14ac:dyDescent="0.2">
      <c r="A39" s="67" t="s">
        <v>207</v>
      </c>
      <c r="B39" s="58" t="s">
        <v>289</v>
      </c>
      <c r="C39" s="101" t="s">
        <v>206</v>
      </c>
      <c r="D39" s="101"/>
      <c r="E39" s="101"/>
      <c r="F39" s="101"/>
      <c r="G39" s="101"/>
      <c r="H39" s="101"/>
      <c r="I39" s="101"/>
      <c r="J39" s="101"/>
      <c r="K39" s="101"/>
      <c r="L39" s="101"/>
      <c r="M39" s="101"/>
      <c r="N39" s="101"/>
      <c r="O39" s="101"/>
      <c r="P39" s="101"/>
      <c r="Q39" s="101"/>
      <c r="R39" s="102"/>
    </row>
    <row r="40" spans="1:18" ht="120" thickBot="1" x14ac:dyDescent="0.25">
      <c r="A40" s="68" t="s">
        <v>212</v>
      </c>
      <c r="B40" s="69" t="s">
        <v>290</v>
      </c>
      <c r="C40" s="111" t="s">
        <v>211</v>
      </c>
      <c r="D40" s="111"/>
      <c r="E40" s="111"/>
      <c r="F40" s="111"/>
      <c r="G40" s="111"/>
      <c r="H40" s="111"/>
      <c r="I40" s="111"/>
      <c r="J40" s="111"/>
      <c r="K40" s="111"/>
      <c r="L40" s="111"/>
      <c r="M40" s="111"/>
      <c r="N40" s="111"/>
      <c r="O40" s="111"/>
      <c r="P40" s="111"/>
      <c r="Q40" s="111"/>
      <c r="R40" s="112"/>
    </row>
  </sheetData>
  <mergeCells count="16">
    <mergeCell ref="C26:R26"/>
    <mergeCell ref="C27:R27"/>
    <mergeCell ref="C25:R25"/>
    <mergeCell ref="C28:R28"/>
    <mergeCell ref="C40:R40"/>
    <mergeCell ref="C29:R29"/>
    <mergeCell ref="C30:R30"/>
    <mergeCell ref="C31:R31"/>
    <mergeCell ref="C32:R32"/>
    <mergeCell ref="C33:R33"/>
    <mergeCell ref="C34:R34"/>
    <mergeCell ref="C35:R35"/>
    <mergeCell ref="C36:R36"/>
    <mergeCell ref="C37:R37"/>
    <mergeCell ref="C38:R38"/>
    <mergeCell ref="C39:R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23807-2A78-CD48-9919-B3B065BD5689}">
  <dimension ref="A1:S52"/>
  <sheetViews>
    <sheetView tabSelected="1" topLeftCell="A22" zoomScale="125" workbookViewId="0">
      <selection activeCell="F41" sqref="F41"/>
    </sheetView>
  </sheetViews>
  <sheetFormatPr baseColWidth="10" defaultRowHeight="16" x14ac:dyDescent="0.2"/>
  <cols>
    <col min="1" max="1" width="38.5" customWidth="1"/>
    <col min="2" max="2" width="29.5" customWidth="1"/>
    <col min="3" max="3" width="29" customWidth="1"/>
    <col min="4" max="5" width="10.83203125" customWidth="1"/>
    <col min="7" max="7" width="12.1640625" customWidth="1"/>
    <col min="10" max="10" width="17" customWidth="1"/>
    <col min="11" max="11" width="10.6640625" customWidth="1"/>
    <col min="12" max="12" width="7.1640625" customWidth="1"/>
    <col min="13" max="13" width="20.83203125" customWidth="1"/>
    <col min="14" max="14" width="24" customWidth="1"/>
    <col min="15" max="15" width="32" customWidth="1"/>
    <col min="16" max="16" width="25.6640625" customWidth="1"/>
    <col min="17" max="17" width="19.5" customWidth="1"/>
    <col min="18" max="18" width="19.33203125" customWidth="1"/>
  </cols>
  <sheetData>
    <row r="1" spans="1:19" x14ac:dyDescent="0.2">
      <c r="A1" s="116" t="s">
        <v>244</v>
      </c>
      <c r="B1" s="97"/>
      <c r="C1" s="97"/>
      <c r="D1" s="97"/>
      <c r="E1" s="97"/>
      <c r="F1" s="97"/>
      <c r="G1" s="97"/>
      <c r="H1" s="97"/>
      <c r="I1" s="97"/>
      <c r="J1" s="97"/>
      <c r="K1" s="98"/>
      <c r="L1" s="66"/>
      <c r="M1" s="43" t="s">
        <v>224</v>
      </c>
      <c r="N1" s="44" t="s">
        <v>225</v>
      </c>
      <c r="O1" s="44" t="s">
        <v>228</v>
      </c>
      <c r="P1" s="45" t="s">
        <v>31</v>
      </c>
      <c r="Q1" s="1"/>
      <c r="R1" s="1"/>
      <c r="S1" s="1"/>
    </row>
    <row r="2" spans="1:19" x14ac:dyDescent="0.2">
      <c r="A2" s="72" t="s">
        <v>214</v>
      </c>
      <c r="B2" s="73" t="s">
        <v>237</v>
      </c>
      <c r="C2" s="73" t="s">
        <v>238</v>
      </c>
      <c r="D2" s="73" t="s">
        <v>239</v>
      </c>
      <c r="E2" s="73" t="s">
        <v>240</v>
      </c>
      <c r="F2" s="73" t="s">
        <v>241</v>
      </c>
      <c r="G2" s="73" t="s">
        <v>242</v>
      </c>
      <c r="H2" s="73" t="s">
        <v>243</v>
      </c>
      <c r="I2" s="73" t="s">
        <v>306</v>
      </c>
      <c r="J2" s="73" t="s">
        <v>249</v>
      </c>
      <c r="K2" s="74" t="s">
        <v>31</v>
      </c>
      <c r="L2" s="66"/>
      <c r="M2" s="3" t="s">
        <v>226</v>
      </c>
      <c r="N2" s="1" t="s">
        <v>227</v>
      </c>
      <c r="O2" s="1">
        <v>0.6</v>
      </c>
      <c r="P2" s="4" t="s">
        <v>293</v>
      </c>
      <c r="Q2" s="1"/>
      <c r="R2" s="1"/>
      <c r="S2" s="1"/>
    </row>
    <row r="3" spans="1:19" x14ac:dyDescent="0.2">
      <c r="A3" s="3" t="s">
        <v>235</v>
      </c>
      <c r="B3" s="75">
        <v>8891</v>
      </c>
      <c r="C3" s="1"/>
      <c r="D3" s="1"/>
      <c r="E3" s="1"/>
      <c r="F3" s="1"/>
      <c r="G3" s="1"/>
      <c r="H3" s="1"/>
      <c r="I3" s="1"/>
      <c r="J3" s="1"/>
      <c r="K3" s="4" t="s">
        <v>294</v>
      </c>
      <c r="L3" s="66"/>
      <c r="M3" s="3" t="s">
        <v>226</v>
      </c>
      <c r="N3" s="1" t="s">
        <v>229</v>
      </c>
      <c r="O3" s="1">
        <v>0.75</v>
      </c>
      <c r="P3" s="4" t="s">
        <v>293</v>
      </c>
      <c r="Q3" s="1"/>
      <c r="R3" s="1"/>
      <c r="S3" s="1"/>
    </row>
    <row r="4" spans="1:19" x14ac:dyDescent="0.2">
      <c r="A4" s="3" t="s">
        <v>305</v>
      </c>
      <c r="B4" s="70">
        <v>0.28999999999999998</v>
      </c>
      <c r="C4" s="1"/>
      <c r="D4" s="1"/>
      <c r="E4" s="1"/>
      <c r="F4" s="1"/>
      <c r="G4" s="1"/>
      <c r="H4" s="1"/>
      <c r="I4" s="1"/>
      <c r="J4" s="1"/>
      <c r="K4" s="4" t="s">
        <v>302</v>
      </c>
      <c r="L4" s="66"/>
      <c r="M4" s="3" t="s">
        <v>230</v>
      </c>
      <c r="N4" s="1" t="s">
        <v>231</v>
      </c>
      <c r="O4" s="1">
        <v>0.83</v>
      </c>
      <c r="P4" s="4" t="s">
        <v>293</v>
      </c>
      <c r="Q4" s="1"/>
      <c r="R4" s="1"/>
      <c r="S4" s="1"/>
    </row>
    <row r="5" spans="1:19" x14ac:dyDescent="0.2">
      <c r="A5" s="3" t="s">
        <v>236</v>
      </c>
      <c r="B5" s="1"/>
      <c r="C5" s="1">
        <v>396.1</v>
      </c>
      <c r="D5" s="1">
        <v>133.1</v>
      </c>
      <c r="E5" s="1">
        <v>138.19999999999999</v>
      </c>
      <c r="F5" s="1">
        <v>1471</v>
      </c>
      <c r="G5" s="1">
        <v>7.66</v>
      </c>
      <c r="H5" s="1">
        <v>0.04</v>
      </c>
      <c r="I5" s="1"/>
      <c r="J5" s="1"/>
      <c r="K5" s="4" t="s">
        <v>294</v>
      </c>
      <c r="L5" s="66"/>
      <c r="M5" s="3" t="s">
        <v>232</v>
      </c>
      <c r="N5" s="1" t="s">
        <v>233</v>
      </c>
      <c r="O5" s="1">
        <v>0.14000000000000001</v>
      </c>
      <c r="P5" s="4" t="s">
        <v>293</v>
      </c>
      <c r="Q5" s="1"/>
      <c r="R5" s="1"/>
      <c r="S5" s="1"/>
    </row>
    <row r="6" spans="1:19" x14ac:dyDescent="0.2">
      <c r="A6" s="3" t="s">
        <v>304</v>
      </c>
      <c r="B6" s="1"/>
      <c r="C6" s="1">
        <v>15.08</v>
      </c>
      <c r="D6" s="1">
        <v>5.48</v>
      </c>
      <c r="E6" s="1">
        <v>5.76</v>
      </c>
      <c r="F6" s="1">
        <v>50.8</v>
      </c>
      <c r="G6" s="1"/>
      <c r="H6" s="1"/>
      <c r="I6" s="1">
        <v>2.3000000000000001E-4</v>
      </c>
      <c r="J6" s="1"/>
      <c r="K6" s="4" t="s">
        <v>319</v>
      </c>
      <c r="L6" s="66"/>
      <c r="M6" s="3" t="s">
        <v>234</v>
      </c>
      <c r="N6" s="1" t="s">
        <v>233</v>
      </c>
      <c r="O6" s="1">
        <v>0.21</v>
      </c>
      <c r="P6" s="4" t="s">
        <v>293</v>
      </c>
      <c r="Q6" s="1"/>
      <c r="R6" s="1"/>
      <c r="S6" s="1"/>
    </row>
    <row r="7" spans="1:19" ht="17" thickBot="1" x14ac:dyDescent="0.25">
      <c r="A7" s="3" t="s">
        <v>250</v>
      </c>
      <c r="B7" s="1"/>
      <c r="C7" s="1"/>
      <c r="D7" s="1"/>
      <c r="E7" s="1"/>
      <c r="F7" s="1"/>
      <c r="G7" s="1"/>
      <c r="H7" s="1"/>
      <c r="I7" s="1"/>
      <c r="J7" s="1">
        <v>223592</v>
      </c>
      <c r="K7" s="4" t="s">
        <v>294</v>
      </c>
      <c r="L7" s="66"/>
      <c r="M7" s="5" t="s">
        <v>253</v>
      </c>
      <c r="N7" s="6" t="s">
        <v>220</v>
      </c>
      <c r="O7" s="6">
        <v>0.14000000000000001</v>
      </c>
      <c r="P7" s="7" t="s">
        <v>293</v>
      </c>
      <c r="Q7" s="1"/>
      <c r="R7" s="1"/>
      <c r="S7" s="1"/>
    </row>
    <row r="8" spans="1:19" ht="17" thickBot="1" x14ac:dyDescent="0.25">
      <c r="A8" s="5" t="s">
        <v>347</v>
      </c>
      <c r="B8" s="76">
        <v>146380</v>
      </c>
      <c r="C8" s="6"/>
      <c r="D8" s="6"/>
      <c r="E8" s="6"/>
      <c r="F8" s="6"/>
      <c r="G8" s="6"/>
      <c r="H8" s="6"/>
      <c r="I8" s="6"/>
      <c r="J8" s="6"/>
      <c r="K8" s="7" t="s">
        <v>294</v>
      </c>
      <c r="L8" s="66"/>
      <c r="M8" s="1"/>
      <c r="N8" s="1"/>
      <c r="O8" s="1"/>
      <c r="P8" s="1"/>
      <c r="Q8" s="1"/>
      <c r="R8" s="1"/>
      <c r="S8" s="1"/>
    </row>
    <row r="9" spans="1:19" ht="17" thickBot="1" x14ac:dyDescent="0.25">
      <c r="A9" s="1"/>
      <c r="B9" s="1"/>
      <c r="C9" s="1"/>
      <c r="D9" s="1"/>
      <c r="E9" s="1"/>
      <c r="F9" s="1"/>
      <c r="G9" s="1"/>
      <c r="H9" s="1"/>
      <c r="I9" s="1"/>
      <c r="J9" s="1"/>
      <c r="K9" s="1"/>
      <c r="L9" s="66"/>
      <c r="M9" s="43" t="s">
        <v>224</v>
      </c>
      <c r="N9" s="44" t="s">
        <v>225</v>
      </c>
      <c r="O9" s="44" t="s">
        <v>300</v>
      </c>
      <c r="P9" s="44" t="s">
        <v>301</v>
      </c>
      <c r="Q9" s="44" t="s">
        <v>311</v>
      </c>
      <c r="R9" s="44" t="s">
        <v>310</v>
      </c>
      <c r="S9" s="45" t="s">
        <v>31</v>
      </c>
    </row>
    <row r="10" spans="1:19" x14ac:dyDescent="0.2">
      <c r="A10" s="116" t="s">
        <v>248</v>
      </c>
      <c r="B10" s="97"/>
      <c r="C10" s="97"/>
      <c r="D10" s="97"/>
      <c r="E10" s="97"/>
      <c r="F10" s="97"/>
      <c r="G10" s="97"/>
      <c r="H10" s="97"/>
      <c r="I10" s="98"/>
      <c r="J10" s="29"/>
      <c r="K10" s="1"/>
      <c r="L10" s="66"/>
      <c r="M10" s="3" t="s">
        <v>226</v>
      </c>
      <c r="N10" s="1" t="s">
        <v>296</v>
      </c>
      <c r="O10" s="1">
        <f>5.52*10^-2</f>
        <v>5.5199999999999999E-2</v>
      </c>
      <c r="P10" s="1"/>
      <c r="Q10" s="1">
        <v>0.14699999999999999</v>
      </c>
      <c r="R10" s="1"/>
      <c r="S10" s="4" t="s">
        <v>294</v>
      </c>
    </row>
    <row r="11" spans="1:19" x14ac:dyDescent="0.2">
      <c r="A11" s="72" t="s">
        <v>214</v>
      </c>
      <c r="B11" s="73" t="s">
        <v>237</v>
      </c>
      <c r="C11" s="73" t="s">
        <v>238</v>
      </c>
      <c r="D11" s="73" t="s">
        <v>239</v>
      </c>
      <c r="E11" s="73" t="s">
        <v>240</v>
      </c>
      <c r="F11" s="73" t="s">
        <v>241</v>
      </c>
      <c r="G11" s="73" t="s">
        <v>242</v>
      </c>
      <c r="H11" s="73" t="s">
        <v>243</v>
      </c>
      <c r="I11" s="74" t="s">
        <v>31</v>
      </c>
      <c r="J11" s="1"/>
      <c r="K11" s="1"/>
      <c r="L11" s="66"/>
      <c r="M11" s="3" t="s">
        <v>226</v>
      </c>
      <c r="N11" s="1" t="s">
        <v>297</v>
      </c>
      <c r="O11" s="1">
        <f>2.26*10^-1</f>
        <v>0.22599999999999998</v>
      </c>
      <c r="P11" s="1"/>
      <c r="Q11" s="1">
        <v>0.14699999999999999</v>
      </c>
      <c r="R11" s="1"/>
      <c r="S11" s="4" t="s">
        <v>294</v>
      </c>
    </row>
    <row r="12" spans="1:19" x14ac:dyDescent="0.2">
      <c r="A12" s="3" t="s">
        <v>246</v>
      </c>
      <c r="B12" s="75">
        <v>67447</v>
      </c>
      <c r="C12" s="1"/>
      <c r="D12" s="1"/>
      <c r="E12" s="1"/>
      <c r="F12" s="1"/>
      <c r="G12" s="1"/>
      <c r="H12" s="1"/>
      <c r="I12" s="4" t="s">
        <v>294</v>
      </c>
      <c r="J12" s="1"/>
      <c r="K12" s="1"/>
      <c r="L12" s="66"/>
      <c r="M12" s="3" t="s">
        <v>226</v>
      </c>
      <c r="N12" s="1" t="s">
        <v>295</v>
      </c>
      <c r="O12" s="1">
        <v>0.14000000000000001</v>
      </c>
      <c r="P12" s="1">
        <f>SUM(245.48,19.5,38.15)</f>
        <v>303.13</v>
      </c>
      <c r="Q12" s="1">
        <v>0.215</v>
      </c>
      <c r="R12" s="1"/>
      <c r="S12" s="4" t="s">
        <v>294</v>
      </c>
    </row>
    <row r="13" spans="1:19" x14ac:dyDescent="0.2">
      <c r="A13" s="3" t="s">
        <v>247</v>
      </c>
      <c r="B13" s="1"/>
      <c r="C13" s="70">
        <v>4877.3999999999996</v>
      </c>
      <c r="D13" s="70">
        <v>2307.8000000000002</v>
      </c>
      <c r="E13" s="70">
        <v>3200.4</v>
      </c>
      <c r="F13" s="70">
        <v>5846.9</v>
      </c>
      <c r="G13" s="70">
        <v>53.1</v>
      </c>
      <c r="H13" s="70">
        <v>0</v>
      </c>
      <c r="I13" s="4" t="s">
        <v>294</v>
      </c>
      <c r="J13" s="1"/>
      <c r="K13" s="1"/>
      <c r="L13" s="66"/>
      <c r="M13" s="3" t="s">
        <v>226</v>
      </c>
      <c r="N13" s="1" t="s">
        <v>298</v>
      </c>
      <c r="O13" s="1">
        <v>0.18</v>
      </c>
      <c r="P13" s="1">
        <f>SUM(139.3,38.15)</f>
        <v>177.45000000000002</v>
      </c>
      <c r="Q13" s="1">
        <v>0.34799999999999998</v>
      </c>
      <c r="R13" s="1"/>
      <c r="S13" s="4" t="s">
        <v>294</v>
      </c>
    </row>
    <row r="14" spans="1:19" ht="17" thickBot="1" x14ac:dyDescent="0.25">
      <c r="A14" s="5" t="s">
        <v>349</v>
      </c>
      <c r="B14" s="76">
        <v>2289</v>
      </c>
      <c r="C14" s="77"/>
      <c r="D14" s="77"/>
      <c r="E14" s="77"/>
      <c r="F14" s="77"/>
      <c r="G14" s="77"/>
      <c r="H14" s="77"/>
      <c r="I14" s="7" t="s">
        <v>294</v>
      </c>
      <c r="J14" s="1"/>
      <c r="K14" s="1"/>
      <c r="L14" s="66"/>
      <c r="M14" s="3" t="s">
        <v>226</v>
      </c>
      <c r="N14" s="1" t="s">
        <v>299</v>
      </c>
      <c r="O14" s="1">
        <v>0.17</v>
      </c>
      <c r="P14" s="1">
        <f>SUM(148.12,4.45,38.15)</f>
        <v>190.72</v>
      </c>
      <c r="Q14" s="1">
        <v>0.34599999999999997</v>
      </c>
      <c r="R14" s="1"/>
      <c r="S14" s="4" t="s">
        <v>294</v>
      </c>
    </row>
    <row r="15" spans="1:19" ht="17" thickBot="1" x14ac:dyDescent="0.25">
      <c r="A15" s="1"/>
      <c r="B15" s="1"/>
      <c r="C15" s="70"/>
      <c r="D15" s="70"/>
      <c r="E15" s="70"/>
      <c r="F15" s="70"/>
      <c r="G15" s="70"/>
      <c r="H15" s="70"/>
      <c r="I15" s="70"/>
      <c r="J15" s="1"/>
      <c r="K15" s="1"/>
      <c r="L15" s="66"/>
      <c r="M15" s="3" t="s">
        <v>226</v>
      </c>
      <c r="N15" s="1" t="s">
        <v>296</v>
      </c>
      <c r="O15" s="1"/>
      <c r="P15" s="1"/>
      <c r="Q15" s="1">
        <f>SUM(0.041,0.52,0.072)</f>
        <v>0.63300000000000001</v>
      </c>
      <c r="R15" s="1">
        <v>1.78</v>
      </c>
      <c r="S15" s="4" t="s">
        <v>302</v>
      </c>
    </row>
    <row r="16" spans="1:19" x14ac:dyDescent="0.2">
      <c r="A16" s="116" t="s">
        <v>245</v>
      </c>
      <c r="B16" s="97"/>
      <c r="C16" s="97"/>
      <c r="D16" s="97"/>
      <c r="E16" s="97"/>
      <c r="F16" s="97"/>
      <c r="G16" s="97"/>
      <c r="H16" s="97"/>
      <c r="I16" s="98"/>
      <c r="J16" s="1"/>
      <c r="K16" s="1"/>
      <c r="L16" s="66"/>
      <c r="M16" s="3" t="s">
        <v>226</v>
      </c>
      <c r="N16" s="1" t="s">
        <v>312</v>
      </c>
      <c r="O16" s="1"/>
      <c r="P16" s="1"/>
      <c r="Q16" s="1">
        <f>SUM(0.021,0.26,0.041)</f>
        <v>0.32200000000000001</v>
      </c>
      <c r="R16" s="1">
        <v>1</v>
      </c>
      <c r="S16" s="4" t="s">
        <v>302</v>
      </c>
    </row>
    <row r="17" spans="1:19" x14ac:dyDescent="0.2">
      <c r="A17" s="72" t="s">
        <v>214</v>
      </c>
      <c r="B17" s="73" t="s">
        <v>237</v>
      </c>
      <c r="C17" s="73" t="s">
        <v>238</v>
      </c>
      <c r="D17" s="73" t="s">
        <v>239</v>
      </c>
      <c r="E17" s="73" t="s">
        <v>240</v>
      </c>
      <c r="F17" s="73" t="s">
        <v>241</v>
      </c>
      <c r="G17" s="73" t="s">
        <v>242</v>
      </c>
      <c r="H17" s="73" t="s">
        <v>243</v>
      </c>
      <c r="I17" s="74" t="s">
        <v>31</v>
      </c>
      <c r="J17" s="1"/>
      <c r="K17" s="1"/>
      <c r="L17" s="66"/>
      <c r="M17" s="3" t="s">
        <v>230</v>
      </c>
      <c r="N17" s="1" t="s">
        <v>231</v>
      </c>
      <c r="O17" s="1"/>
      <c r="P17" s="1"/>
      <c r="Q17" s="1">
        <v>0.14299999999999999</v>
      </c>
      <c r="R17" s="1"/>
      <c r="S17" s="4" t="s">
        <v>294</v>
      </c>
    </row>
    <row r="18" spans="1:19" x14ac:dyDescent="0.2">
      <c r="A18" s="3" t="s">
        <v>246</v>
      </c>
      <c r="B18" s="75">
        <v>51644</v>
      </c>
      <c r="C18" s="1"/>
      <c r="D18" s="1"/>
      <c r="E18" s="1"/>
      <c r="F18" s="1"/>
      <c r="G18" s="1"/>
      <c r="H18" s="1"/>
      <c r="I18" s="4" t="s">
        <v>294</v>
      </c>
      <c r="J18" s="1"/>
      <c r="K18" s="1"/>
      <c r="L18" s="66"/>
      <c r="M18" s="3" t="s">
        <v>232</v>
      </c>
      <c r="N18" s="1" t="s">
        <v>59</v>
      </c>
      <c r="O18" s="1"/>
      <c r="P18" s="1"/>
      <c r="Q18" s="1">
        <v>1.3069999999999999</v>
      </c>
      <c r="R18" s="1"/>
      <c r="S18" s="4" t="s">
        <v>294</v>
      </c>
    </row>
    <row r="19" spans="1:19" x14ac:dyDescent="0.2">
      <c r="A19" s="3" t="s">
        <v>247</v>
      </c>
      <c r="B19" s="1"/>
      <c r="C19" s="70">
        <v>4640.5</v>
      </c>
      <c r="D19" s="70">
        <v>1047.0999999999999</v>
      </c>
      <c r="E19" s="70">
        <v>2867.9</v>
      </c>
      <c r="F19" s="70">
        <v>5182.6000000000004</v>
      </c>
      <c r="G19" s="70">
        <v>28.72</v>
      </c>
      <c r="H19" s="70">
        <v>0</v>
      </c>
      <c r="I19" s="4" t="s">
        <v>294</v>
      </c>
      <c r="J19" s="1"/>
      <c r="K19" s="1"/>
      <c r="L19" s="66"/>
      <c r="M19" s="3" t="s">
        <v>232</v>
      </c>
      <c r="N19" s="1" t="s">
        <v>98</v>
      </c>
      <c r="O19" s="1"/>
      <c r="P19" s="1"/>
      <c r="Q19" s="1">
        <v>1.298</v>
      </c>
      <c r="R19" s="1"/>
      <c r="S19" s="4" t="s">
        <v>294</v>
      </c>
    </row>
    <row r="20" spans="1:19" ht="17" thickBot="1" x14ac:dyDescent="0.25">
      <c r="A20" s="5" t="s">
        <v>349</v>
      </c>
      <c r="B20" s="76">
        <v>1752</v>
      </c>
      <c r="C20" s="77"/>
      <c r="D20" s="77"/>
      <c r="E20" s="77"/>
      <c r="F20" s="77"/>
      <c r="G20" s="77"/>
      <c r="H20" s="77"/>
      <c r="I20" s="71" t="s">
        <v>294</v>
      </c>
      <c r="J20" s="1"/>
      <c r="K20" s="1"/>
      <c r="L20" s="66"/>
      <c r="M20" s="3" t="s">
        <v>232</v>
      </c>
      <c r="N20" s="1" t="s">
        <v>233</v>
      </c>
      <c r="O20" s="1"/>
      <c r="P20" s="1"/>
      <c r="Q20" s="1">
        <v>1.196</v>
      </c>
      <c r="R20" s="1"/>
      <c r="S20" s="4" t="s">
        <v>294</v>
      </c>
    </row>
    <row r="21" spans="1:19" ht="17" thickBot="1" x14ac:dyDescent="0.25">
      <c r="A21" s="1"/>
      <c r="B21" s="1"/>
      <c r="C21" s="70"/>
      <c r="D21" s="70"/>
      <c r="E21" s="70"/>
      <c r="F21" s="70"/>
      <c r="G21" s="70"/>
      <c r="H21" s="70"/>
      <c r="I21" s="70"/>
      <c r="J21" s="1"/>
      <c r="K21" s="1"/>
      <c r="L21" s="66"/>
      <c r="M21" s="3" t="s">
        <v>318</v>
      </c>
      <c r="N21" s="1" t="s">
        <v>59</v>
      </c>
      <c r="O21" s="1"/>
      <c r="P21" s="1"/>
      <c r="Q21" s="1">
        <v>0.47799999999999998</v>
      </c>
      <c r="R21" s="1"/>
      <c r="S21" s="4" t="s">
        <v>294</v>
      </c>
    </row>
    <row r="22" spans="1:19" x14ac:dyDescent="0.2">
      <c r="A22" s="116" t="s">
        <v>313</v>
      </c>
      <c r="B22" s="97"/>
      <c r="C22" s="97"/>
      <c r="D22" s="97"/>
      <c r="E22" s="98"/>
      <c r="F22" s="1"/>
      <c r="G22" s="1"/>
      <c r="H22" s="1"/>
      <c r="I22" s="1"/>
      <c r="J22" s="1"/>
      <c r="K22" s="1"/>
      <c r="L22" s="66"/>
      <c r="M22" s="3" t="s">
        <v>318</v>
      </c>
      <c r="N22" s="1" t="s">
        <v>98</v>
      </c>
      <c r="O22" s="1"/>
      <c r="P22" s="1"/>
      <c r="Q22" s="1">
        <v>0.47799999999999998</v>
      </c>
      <c r="R22" s="1"/>
      <c r="S22" s="4" t="s">
        <v>294</v>
      </c>
    </row>
    <row r="23" spans="1:19" ht="17" thickBot="1" x14ac:dyDescent="0.25">
      <c r="A23" s="72" t="s">
        <v>214</v>
      </c>
      <c r="B23" s="73" t="s">
        <v>216</v>
      </c>
      <c r="C23" s="73" t="s">
        <v>217</v>
      </c>
      <c r="D23" s="73" t="s">
        <v>218</v>
      </c>
      <c r="E23" s="74" t="s">
        <v>31</v>
      </c>
      <c r="F23" s="1"/>
      <c r="G23" s="1"/>
      <c r="H23" s="1"/>
      <c r="I23" s="1"/>
      <c r="J23" s="1"/>
      <c r="K23" s="1"/>
      <c r="L23" s="66"/>
      <c r="M23" s="5" t="s">
        <v>318</v>
      </c>
      <c r="N23" s="6" t="s">
        <v>233</v>
      </c>
      <c r="O23" s="6"/>
      <c r="P23" s="6"/>
      <c r="Q23" s="6">
        <v>0.47799999999999998</v>
      </c>
      <c r="R23" s="6"/>
      <c r="S23" s="7" t="s">
        <v>294</v>
      </c>
    </row>
    <row r="24" spans="1:19" x14ac:dyDescent="0.2">
      <c r="A24" s="3" t="s">
        <v>215</v>
      </c>
      <c r="B24" s="75">
        <v>25034</v>
      </c>
      <c r="C24" s="75">
        <v>24578</v>
      </c>
      <c r="D24" s="75">
        <v>47409</v>
      </c>
      <c r="E24" s="4" t="s">
        <v>294</v>
      </c>
      <c r="F24" s="1"/>
      <c r="G24" s="1"/>
      <c r="H24" s="1"/>
      <c r="I24" s="1"/>
      <c r="J24" s="1"/>
      <c r="K24" s="1"/>
      <c r="L24" s="66"/>
      <c r="M24" s="1"/>
      <c r="N24" s="1"/>
      <c r="O24" s="1"/>
      <c r="P24" s="1"/>
      <c r="Q24" s="1"/>
      <c r="R24" s="1"/>
      <c r="S24" s="1"/>
    </row>
    <row r="25" spans="1:19" ht="17" thickBot="1" x14ac:dyDescent="0.25">
      <c r="A25" s="3" t="s">
        <v>307</v>
      </c>
      <c r="B25" s="70">
        <f>SUM(0.13,0.054)</f>
        <v>0.184</v>
      </c>
      <c r="C25" s="75"/>
      <c r="D25" s="75"/>
      <c r="E25" s="4" t="s">
        <v>302</v>
      </c>
      <c r="F25" s="1"/>
      <c r="G25" s="1"/>
      <c r="H25" s="1"/>
      <c r="I25" s="1"/>
      <c r="J25" s="1"/>
      <c r="K25" s="1"/>
      <c r="L25" s="66"/>
      <c r="M25" s="1"/>
      <c r="N25" s="1"/>
      <c r="O25" s="1"/>
      <c r="P25" s="1"/>
      <c r="Q25" s="1"/>
      <c r="R25" s="1"/>
      <c r="S25" s="1"/>
    </row>
    <row r="26" spans="1:19" x14ac:dyDescent="0.2">
      <c r="A26" s="3" t="s">
        <v>219</v>
      </c>
      <c r="B26" s="1">
        <v>2.84</v>
      </c>
      <c r="C26" s="1">
        <v>2.86</v>
      </c>
      <c r="D26" s="1">
        <v>2.74</v>
      </c>
      <c r="E26" s="4" t="s">
        <v>294</v>
      </c>
      <c r="F26" s="1"/>
      <c r="G26" s="1"/>
      <c r="H26" s="1"/>
      <c r="I26" s="1"/>
      <c r="J26" s="1"/>
      <c r="K26" s="1"/>
      <c r="L26" s="66"/>
      <c r="M26" s="115" t="s">
        <v>330</v>
      </c>
      <c r="N26" s="108"/>
      <c r="O26" s="1"/>
      <c r="P26" s="1"/>
      <c r="Q26" s="1"/>
      <c r="R26" s="1"/>
      <c r="S26" s="1"/>
    </row>
    <row r="27" spans="1:19" x14ac:dyDescent="0.2">
      <c r="A27" s="3" t="s">
        <v>308</v>
      </c>
      <c r="B27" s="2">
        <f>1/0.13</f>
        <v>7.6923076923076916</v>
      </c>
      <c r="C27" s="1"/>
      <c r="D27" s="1"/>
      <c r="E27" s="4" t="s">
        <v>302</v>
      </c>
      <c r="F27" s="1"/>
      <c r="G27" s="1"/>
      <c r="H27" s="1"/>
      <c r="I27" s="1"/>
      <c r="J27" s="1"/>
      <c r="K27" s="1"/>
      <c r="L27" s="66"/>
      <c r="M27" s="3" t="s">
        <v>331</v>
      </c>
      <c r="N27" s="4" t="s">
        <v>332</v>
      </c>
      <c r="O27" s="1"/>
      <c r="P27" s="1"/>
      <c r="Q27" s="1" t="s">
        <v>372</v>
      </c>
      <c r="R27" s="1" t="s">
        <v>373</v>
      </c>
      <c r="S27" s="1"/>
    </row>
    <row r="28" spans="1:19" ht="17" thickBot="1" x14ac:dyDescent="0.25">
      <c r="A28" s="5" t="s">
        <v>377</v>
      </c>
      <c r="B28" s="12">
        <v>3.33</v>
      </c>
      <c r="C28" s="12">
        <v>3.323</v>
      </c>
      <c r="D28" s="12">
        <v>4.2839999999999998</v>
      </c>
      <c r="E28" s="7" t="s">
        <v>294</v>
      </c>
      <c r="F28" s="1"/>
      <c r="G28" s="1"/>
      <c r="H28" s="1"/>
      <c r="I28" s="1"/>
      <c r="J28" s="1"/>
      <c r="K28" s="1"/>
      <c r="L28" s="66"/>
      <c r="M28" s="3" t="s">
        <v>334</v>
      </c>
      <c r="N28" s="4" t="s">
        <v>333</v>
      </c>
      <c r="O28" s="1"/>
      <c r="P28" s="1"/>
      <c r="Q28" s="1">
        <v>1</v>
      </c>
      <c r="R28" s="1">
        <v>3.6</v>
      </c>
      <c r="S28" s="1"/>
    </row>
    <row r="29" spans="1:19" ht="17" thickBot="1" x14ac:dyDescent="0.25">
      <c r="A29" s="1"/>
      <c r="B29" s="1"/>
      <c r="C29" s="1"/>
      <c r="D29" s="1"/>
      <c r="E29" s="1"/>
      <c r="F29" s="1"/>
      <c r="G29" s="1"/>
      <c r="H29" s="1"/>
      <c r="I29" s="1"/>
      <c r="J29" s="1"/>
      <c r="K29" s="1"/>
      <c r="L29" s="66"/>
      <c r="M29" s="3" t="s">
        <v>335</v>
      </c>
      <c r="N29" s="4" t="s">
        <v>336</v>
      </c>
      <c r="O29" s="1"/>
      <c r="P29" s="1"/>
      <c r="Q29" s="1"/>
      <c r="R29" s="1"/>
      <c r="S29" s="1"/>
    </row>
    <row r="30" spans="1:19" ht="17" thickBot="1" x14ac:dyDescent="0.25">
      <c r="A30" s="115" t="s">
        <v>220</v>
      </c>
      <c r="B30" s="107"/>
      <c r="C30" s="45" t="s">
        <v>31</v>
      </c>
      <c r="D30" s="1"/>
      <c r="E30" s="1"/>
      <c r="F30" s="1"/>
      <c r="G30" s="1"/>
      <c r="H30" s="1"/>
      <c r="I30" s="1"/>
      <c r="J30" s="1"/>
      <c r="K30" s="1"/>
      <c r="L30" s="66"/>
      <c r="M30" s="5" t="s">
        <v>337</v>
      </c>
      <c r="N30" s="7" t="s">
        <v>338</v>
      </c>
      <c r="O30" s="1"/>
      <c r="P30" s="1"/>
      <c r="Q30" s="1"/>
      <c r="R30" s="1"/>
      <c r="S30" s="1"/>
    </row>
    <row r="31" spans="1:19" ht="17" thickBot="1" x14ac:dyDescent="0.25">
      <c r="A31" s="3" t="s">
        <v>221</v>
      </c>
      <c r="B31" s="1">
        <v>183</v>
      </c>
      <c r="C31" s="4" t="s">
        <v>294</v>
      </c>
      <c r="D31" s="1"/>
      <c r="E31" s="1"/>
      <c r="F31" s="1"/>
      <c r="G31" s="1"/>
      <c r="H31" s="1"/>
      <c r="I31" s="1"/>
      <c r="J31" s="1"/>
      <c r="K31" s="1"/>
      <c r="L31" s="66"/>
      <c r="M31" s="1"/>
      <c r="N31" s="1" t="s">
        <v>303</v>
      </c>
      <c r="O31" s="1"/>
      <c r="P31" s="1"/>
      <c r="Q31" s="1"/>
      <c r="R31" s="1"/>
      <c r="S31" s="1"/>
    </row>
    <row r="32" spans="1:19" x14ac:dyDescent="0.2">
      <c r="A32" s="3" t="s">
        <v>222</v>
      </c>
      <c r="B32" s="1">
        <v>0.78</v>
      </c>
      <c r="C32" s="4" t="s">
        <v>294</v>
      </c>
      <c r="D32" s="1"/>
      <c r="E32" s="1"/>
      <c r="F32" s="1"/>
      <c r="G32" s="1"/>
      <c r="H32" s="1"/>
      <c r="I32" s="1"/>
      <c r="J32" s="1"/>
      <c r="K32" s="1"/>
      <c r="L32" s="66"/>
      <c r="M32" s="43" t="s">
        <v>348</v>
      </c>
      <c r="N32" s="44" t="s">
        <v>340</v>
      </c>
      <c r="O32" s="45" t="s">
        <v>341</v>
      </c>
      <c r="P32" s="1"/>
      <c r="Q32" s="1"/>
      <c r="R32" s="1"/>
      <c r="S32" s="1"/>
    </row>
    <row r="33" spans="1:19" x14ac:dyDescent="0.2">
      <c r="A33" s="3" t="s">
        <v>309</v>
      </c>
      <c r="B33" s="1">
        <f>0.048</f>
        <v>4.8000000000000001E-2</v>
      </c>
      <c r="C33" s="4" t="s">
        <v>302</v>
      </c>
      <c r="D33" s="1"/>
      <c r="E33" s="1"/>
      <c r="F33" s="1"/>
      <c r="G33" s="1"/>
      <c r="H33" s="1"/>
      <c r="I33" s="1"/>
      <c r="J33" s="1"/>
      <c r="K33" s="1"/>
      <c r="L33" s="66"/>
      <c r="M33" s="3" t="s">
        <v>227</v>
      </c>
      <c r="N33" s="1">
        <v>789</v>
      </c>
      <c r="O33" s="80">
        <f>N33/264.172</f>
        <v>2.9866904895295487</v>
      </c>
      <c r="R33" s="1"/>
      <c r="S33" s="1"/>
    </row>
    <row r="34" spans="1:19" ht="17" thickBot="1" x14ac:dyDescent="0.25">
      <c r="A34" s="5" t="s">
        <v>375</v>
      </c>
      <c r="B34" s="6">
        <v>0.59699999999999998</v>
      </c>
      <c r="C34" s="7" t="s">
        <v>294</v>
      </c>
      <c r="D34" s="1"/>
      <c r="E34" s="1"/>
      <c r="F34" s="1"/>
      <c r="G34" s="1"/>
      <c r="H34" s="1"/>
      <c r="I34" s="1"/>
      <c r="J34" s="1"/>
      <c r="K34" s="1"/>
      <c r="L34" s="66"/>
      <c r="M34" s="3" t="s">
        <v>339</v>
      </c>
      <c r="N34" s="1">
        <v>810</v>
      </c>
      <c r="O34" s="80">
        <f t="shared" ref="O34:O36" si="0">N34/264.172</f>
        <v>3.0661841527489662</v>
      </c>
      <c r="R34" s="1"/>
      <c r="S34" s="1"/>
    </row>
    <row r="35" spans="1:19" ht="17" thickBot="1" x14ac:dyDescent="0.25">
      <c r="A35" s="1"/>
      <c r="B35" s="1"/>
      <c r="C35" s="1"/>
      <c r="D35" s="1"/>
      <c r="E35" s="1"/>
      <c r="F35" s="1"/>
      <c r="G35" s="1"/>
      <c r="H35" s="1"/>
      <c r="I35" s="1"/>
      <c r="J35" s="1"/>
      <c r="K35" s="1"/>
      <c r="L35" s="66"/>
      <c r="M35" s="3" t="s">
        <v>220</v>
      </c>
      <c r="N35" s="1">
        <v>920</v>
      </c>
      <c r="O35" s="80">
        <f t="shared" si="0"/>
        <v>3.4825795315173442</v>
      </c>
      <c r="R35" s="1"/>
      <c r="S35" s="1"/>
    </row>
    <row r="36" spans="1:19" ht="17" thickBot="1" x14ac:dyDescent="0.25">
      <c r="A36" s="115" t="s">
        <v>314</v>
      </c>
      <c r="B36" s="107"/>
      <c r="C36" s="45" t="s">
        <v>31</v>
      </c>
      <c r="D36" s="1"/>
      <c r="E36" s="1"/>
      <c r="F36" s="1"/>
      <c r="G36" s="1"/>
      <c r="H36" s="1"/>
      <c r="I36" s="1"/>
      <c r="J36" s="1"/>
      <c r="K36" s="1"/>
      <c r="L36" s="66"/>
      <c r="M36" s="5" t="s">
        <v>342</v>
      </c>
      <c r="N36" s="6">
        <f>AVERAGE(775,840)</f>
        <v>807.5</v>
      </c>
      <c r="O36" s="81">
        <f t="shared" si="0"/>
        <v>3.0567206214133211</v>
      </c>
      <c r="R36" s="1"/>
      <c r="S36" s="1"/>
    </row>
    <row r="37" spans="1:19" ht="17" thickBot="1" x14ac:dyDescent="0.25">
      <c r="A37" s="3" t="s">
        <v>215</v>
      </c>
      <c r="B37" s="75">
        <v>48430</v>
      </c>
      <c r="C37" s="4" t="s">
        <v>294</v>
      </c>
      <c r="D37" s="1"/>
      <c r="E37" s="1"/>
      <c r="F37" s="1"/>
      <c r="G37" s="1"/>
      <c r="H37" s="1"/>
      <c r="I37" s="1"/>
      <c r="J37" s="1"/>
      <c r="K37" s="1"/>
      <c r="L37" s="66"/>
      <c r="M37" s="1"/>
      <c r="N37" s="1"/>
      <c r="O37" s="1"/>
      <c r="P37" s="1"/>
      <c r="Q37" s="1"/>
      <c r="R37" s="1"/>
      <c r="S37" s="1"/>
    </row>
    <row r="38" spans="1:19" x14ac:dyDescent="0.2">
      <c r="A38" s="3" t="s">
        <v>219</v>
      </c>
      <c r="B38" s="1">
        <v>1.5</v>
      </c>
      <c r="C38" s="4" t="s">
        <v>294</v>
      </c>
      <c r="D38" s="1"/>
      <c r="E38" s="1"/>
      <c r="F38" s="1"/>
      <c r="G38" s="1"/>
      <c r="H38" s="1"/>
      <c r="I38" s="1"/>
      <c r="J38" s="1"/>
      <c r="K38" s="1"/>
      <c r="L38" s="66"/>
      <c r="M38" s="43" t="s">
        <v>348</v>
      </c>
      <c r="N38" s="44" t="s">
        <v>368</v>
      </c>
      <c r="O38" s="44" t="s">
        <v>369</v>
      </c>
      <c r="P38" s="45" t="s">
        <v>374</v>
      </c>
      <c r="Q38" s="1"/>
      <c r="R38" s="1"/>
      <c r="S38" s="1"/>
    </row>
    <row r="39" spans="1:19" x14ac:dyDescent="0.2">
      <c r="A39" s="3" t="s">
        <v>315</v>
      </c>
      <c r="B39" s="1">
        <v>2.16</v>
      </c>
      <c r="C39" s="4" t="s">
        <v>302</v>
      </c>
      <c r="D39" s="1"/>
      <c r="E39" s="1"/>
      <c r="F39" s="1"/>
      <c r="G39" s="1"/>
      <c r="H39" s="1"/>
      <c r="I39" s="1"/>
      <c r="J39" s="1"/>
      <c r="K39" s="1"/>
      <c r="L39" s="66"/>
      <c r="M39" s="3" t="s">
        <v>227</v>
      </c>
      <c r="N39" s="1">
        <v>29.7</v>
      </c>
      <c r="O39" s="1">
        <f>N39*2.987</f>
        <v>88.713899999999995</v>
      </c>
      <c r="P39" s="4">
        <f>O39/0.001055/1000000</f>
        <v>8.408900473933649E-2</v>
      </c>
      <c r="Q39" s="1"/>
      <c r="R39" s="1"/>
      <c r="S39" s="1"/>
    </row>
    <row r="40" spans="1:19" ht="17" thickBot="1" x14ac:dyDescent="0.25">
      <c r="A40" s="5" t="s">
        <v>376</v>
      </c>
      <c r="B40" s="78">
        <v>0.56699999999999995</v>
      </c>
      <c r="C40" s="7" t="s">
        <v>294</v>
      </c>
      <c r="D40" s="1"/>
      <c r="E40" s="1"/>
      <c r="F40" s="1"/>
      <c r="G40" s="1"/>
      <c r="H40" s="1"/>
      <c r="I40" s="1"/>
      <c r="J40" s="1"/>
      <c r="K40" s="1"/>
      <c r="L40" s="66"/>
      <c r="M40" s="3" t="s">
        <v>339</v>
      </c>
      <c r="N40" s="1">
        <v>37.299999999999997</v>
      </c>
      <c r="O40" s="1">
        <f>N40*3.066</f>
        <v>114.36179999999999</v>
      </c>
      <c r="P40" s="4">
        <f>O40/0.001055/1000000</f>
        <v>0.10839981042654027</v>
      </c>
      <c r="Q40" s="1"/>
      <c r="R40" s="1"/>
      <c r="S40" s="1"/>
    </row>
    <row r="41" spans="1:19" ht="17" thickBot="1" x14ac:dyDescent="0.25">
      <c r="A41" s="1"/>
      <c r="B41" s="1"/>
      <c r="C41" s="1"/>
      <c r="D41" s="1"/>
      <c r="E41" s="1"/>
      <c r="F41" s="1"/>
      <c r="G41" s="1"/>
      <c r="H41" s="1"/>
      <c r="I41" s="1"/>
      <c r="J41" s="1"/>
      <c r="K41" s="1"/>
      <c r="L41" s="66"/>
      <c r="M41" s="3" t="s">
        <v>220</v>
      </c>
      <c r="N41" s="1">
        <v>37.700000000000003</v>
      </c>
      <c r="O41" s="1">
        <f>N41*3.483</f>
        <v>131.3091</v>
      </c>
      <c r="P41" s="4">
        <f>O41/0.001055/1000000</f>
        <v>0.1244636018957346</v>
      </c>
      <c r="Q41" s="1"/>
      <c r="R41" s="1"/>
      <c r="S41" s="1"/>
    </row>
    <row r="42" spans="1:19" x14ac:dyDescent="0.2">
      <c r="A42" s="115" t="s">
        <v>251</v>
      </c>
      <c r="B42" s="107"/>
      <c r="C42" s="45" t="s">
        <v>31</v>
      </c>
      <c r="D42" s="1"/>
      <c r="E42" s="1"/>
      <c r="F42" s="1"/>
      <c r="G42" s="1"/>
      <c r="H42" s="1"/>
      <c r="I42" s="1"/>
      <c r="J42" s="1"/>
      <c r="K42" s="1"/>
      <c r="L42" s="66"/>
      <c r="M42" s="3" t="s">
        <v>342</v>
      </c>
      <c r="N42" s="1">
        <v>43</v>
      </c>
      <c r="O42" s="1">
        <f>N42*3.057</f>
        <v>131.45099999999999</v>
      </c>
      <c r="P42" s="4">
        <f>O42/0.001055/1000000</f>
        <v>0.12459810426540284</v>
      </c>
      <c r="Q42" s="1"/>
      <c r="R42" s="1"/>
      <c r="S42" s="1"/>
    </row>
    <row r="43" spans="1:19" x14ac:dyDescent="0.2">
      <c r="A43" s="3" t="s">
        <v>215</v>
      </c>
      <c r="B43" s="75">
        <v>180</v>
      </c>
      <c r="C43" s="4" t="s">
        <v>294</v>
      </c>
      <c r="D43" s="1"/>
      <c r="E43" s="1"/>
      <c r="F43" s="1"/>
      <c r="G43" s="1"/>
      <c r="H43" s="1"/>
      <c r="I43" s="1"/>
      <c r="J43" s="1"/>
      <c r="K43" s="1"/>
      <c r="L43" s="66"/>
      <c r="M43" s="3" t="s">
        <v>370</v>
      </c>
      <c r="N43" s="1">
        <v>16.3</v>
      </c>
      <c r="O43" s="1" t="s">
        <v>371</v>
      </c>
      <c r="P43" s="4" t="s">
        <v>371</v>
      </c>
      <c r="Q43" s="1"/>
      <c r="R43" s="1"/>
      <c r="S43" s="1"/>
    </row>
    <row r="44" spans="1:19" x14ac:dyDescent="0.2">
      <c r="A44" s="3" t="s">
        <v>219</v>
      </c>
      <c r="B44" s="1">
        <v>80</v>
      </c>
      <c r="C44" s="4" t="s">
        <v>294</v>
      </c>
      <c r="D44" s="1"/>
      <c r="E44" s="1"/>
      <c r="F44" s="1"/>
      <c r="G44" s="1"/>
      <c r="H44" s="1"/>
      <c r="I44" s="1"/>
      <c r="J44" s="1"/>
      <c r="K44" s="1"/>
      <c r="L44" s="66"/>
      <c r="M44" s="3" t="s">
        <v>98</v>
      </c>
      <c r="N44" s="1">
        <v>17.399999999999999</v>
      </c>
      <c r="O44" s="1" t="s">
        <v>371</v>
      </c>
      <c r="P44" s="4" t="s">
        <v>371</v>
      </c>
      <c r="Q44" s="1"/>
      <c r="R44" s="1"/>
      <c r="S44" s="1"/>
    </row>
    <row r="45" spans="1:19" x14ac:dyDescent="0.2">
      <c r="A45" s="3" t="s">
        <v>378</v>
      </c>
      <c r="B45" s="75">
        <v>12807</v>
      </c>
      <c r="C45" s="4" t="s">
        <v>294</v>
      </c>
      <c r="D45" s="1"/>
      <c r="E45" s="1"/>
      <c r="F45" s="1"/>
      <c r="G45" s="1"/>
      <c r="H45" s="1"/>
      <c r="I45" s="1"/>
      <c r="J45" s="1"/>
      <c r="K45" s="1"/>
      <c r="L45" s="66"/>
      <c r="M45" s="3" t="s">
        <v>59</v>
      </c>
      <c r="N45" s="1">
        <v>17.3</v>
      </c>
      <c r="O45" s="1" t="s">
        <v>371</v>
      </c>
      <c r="P45" s="4" t="s">
        <v>371</v>
      </c>
      <c r="Q45" s="1"/>
      <c r="R45" s="1"/>
      <c r="S45" s="1"/>
    </row>
    <row r="46" spans="1:19" ht="17" thickBot="1" x14ac:dyDescent="0.25">
      <c r="A46" s="5" t="s">
        <v>350</v>
      </c>
      <c r="B46" s="76">
        <v>5212</v>
      </c>
      <c r="C46" s="7" t="s">
        <v>294</v>
      </c>
      <c r="D46" s="1"/>
      <c r="E46" s="1"/>
      <c r="F46" s="1"/>
      <c r="G46" s="1"/>
      <c r="H46" s="1"/>
      <c r="I46" s="1"/>
      <c r="J46" s="1"/>
      <c r="K46" s="1"/>
      <c r="L46" s="66"/>
      <c r="M46" s="5" t="s">
        <v>233</v>
      </c>
      <c r="N46" s="6">
        <v>16.5</v>
      </c>
      <c r="O46" s="6" t="s">
        <v>371</v>
      </c>
      <c r="P46" s="7" t="s">
        <v>371</v>
      </c>
      <c r="Q46" s="1"/>
      <c r="R46" s="1"/>
      <c r="S46" s="1"/>
    </row>
    <row r="47" spans="1:19" x14ac:dyDescent="0.2">
      <c r="A47" s="21"/>
      <c r="B47" s="21"/>
      <c r="C47" s="21"/>
      <c r="D47" s="21"/>
      <c r="E47" s="21"/>
      <c r="F47" s="21"/>
      <c r="G47" s="21"/>
      <c r="H47" s="21"/>
      <c r="I47" s="21"/>
      <c r="J47" s="21"/>
      <c r="K47" s="21"/>
      <c r="L47" s="21"/>
    </row>
    <row r="48" spans="1:19" ht="17" thickBot="1" x14ac:dyDescent="0.25">
      <c r="A48" s="21"/>
      <c r="B48" s="79"/>
      <c r="C48" s="21"/>
      <c r="D48" s="21"/>
      <c r="E48" s="21"/>
      <c r="F48" s="21"/>
      <c r="G48" s="21"/>
      <c r="H48" s="21"/>
      <c r="I48" s="21"/>
      <c r="J48" s="21"/>
      <c r="K48" s="21"/>
      <c r="L48" s="21"/>
    </row>
    <row r="49" spans="1:11" x14ac:dyDescent="0.2">
      <c r="A49" s="43" t="s">
        <v>257</v>
      </c>
      <c r="B49" s="44" t="s">
        <v>255</v>
      </c>
      <c r="C49" s="107" t="s">
        <v>256</v>
      </c>
      <c r="D49" s="107"/>
      <c r="E49" s="107"/>
      <c r="F49" s="107"/>
      <c r="G49" s="107"/>
      <c r="H49" s="107"/>
      <c r="I49" s="107"/>
      <c r="J49" s="107"/>
      <c r="K49" s="108"/>
    </row>
    <row r="50" spans="1:11" ht="51" x14ac:dyDescent="0.2">
      <c r="A50" s="60" t="s">
        <v>293</v>
      </c>
      <c r="B50" s="62" t="s">
        <v>291</v>
      </c>
      <c r="C50" s="105" t="s">
        <v>223</v>
      </c>
      <c r="D50" s="105"/>
      <c r="E50" s="105"/>
      <c r="F50" s="105"/>
      <c r="G50" s="105"/>
      <c r="H50" s="105"/>
      <c r="I50" s="105"/>
      <c r="J50" s="105"/>
      <c r="K50" s="106"/>
    </row>
    <row r="51" spans="1:11" ht="34" x14ac:dyDescent="0.2">
      <c r="A51" s="60" t="s">
        <v>294</v>
      </c>
      <c r="B51" s="62" t="s">
        <v>292</v>
      </c>
      <c r="C51" s="105" t="s">
        <v>252</v>
      </c>
      <c r="D51" s="105"/>
      <c r="E51" s="105"/>
      <c r="F51" s="105"/>
      <c r="G51" s="105"/>
      <c r="H51" s="105"/>
      <c r="I51" s="105"/>
      <c r="J51" s="105"/>
      <c r="K51" s="106"/>
    </row>
    <row r="52" spans="1:11" ht="69" thickBot="1" x14ac:dyDescent="0.25">
      <c r="A52" s="64" t="s">
        <v>302</v>
      </c>
      <c r="B52" s="69" t="s">
        <v>316</v>
      </c>
      <c r="C52" s="109" t="s">
        <v>317</v>
      </c>
      <c r="D52" s="109"/>
      <c r="E52" s="109"/>
      <c r="F52" s="109"/>
      <c r="G52" s="109"/>
      <c r="H52" s="109"/>
      <c r="I52" s="109"/>
      <c r="J52" s="109"/>
      <c r="K52" s="110"/>
    </row>
  </sheetData>
  <mergeCells count="12">
    <mergeCell ref="C50:K50"/>
    <mergeCell ref="C51:K51"/>
    <mergeCell ref="C52:K52"/>
    <mergeCell ref="C49:K49"/>
    <mergeCell ref="A42:B42"/>
    <mergeCell ref="M26:N26"/>
    <mergeCell ref="A36:B36"/>
    <mergeCell ref="A1:K1"/>
    <mergeCell ref="A10:I10"/>
    <mergeCell ref="A16:I16"/>
    <mergeCell ref="A22:E22"/>
    <mergeCell ref="A30:B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Summary</vt:lpstr>
      <vt:lpstr>Corn Data</vt:lpstr>
      <vt:lpstr>Energy Crops Data</vt:lpstr>
      <vt:lpstr>Conversion Factors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Guido Eskenazi</dc:creator>
  <cp:lastModifiedBy>Andy Guido Eskenazi</cp:lastModifiedBy>
  <dcterms:created xsi:type="dcterms:W3CDTF">2024-04-01T17:01:58Z</dcterms:created>
  <dcterms:modified xsi:type="dcterms:W3CDTF">2024-05-04T14:37:29Z</dcterms:modified>
</cp:coreProperties>
</file>